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2 районая\113 бюджет 2022\"/>
    </mc:Choice>
  </mc:AlternateContent>
  <bookViews>
    <workbookView xWindow="9822" yWindow="462" windowWidth="20731" windowHeight="11765" tabRatio="616"/>
  </bookViews>
  <sheets>
    <sheet name="Приложение 4 2023-2024 " sheetId="5" r:id="rId1"/>
  </sheets>
  <definedNames>
    <definedName name="_xlnm._FilterDatabase" localSheetId="0" hidden="1">'Приложение 4 2023-2024 '!$A$12:$HE$418</definedName>
    <definedName name="_xlnm.Print_Titles" localSheetId="0">'Приложение 4 2023-2024 '!$12:$13</definedName>
    <definedName name="_xlnm.Print_Area" localSheetId="0">'Приложение 4 2023-2024 '!$A$1:$I$418</definedName>
  </definedNames>
  <calcPr calcId="162913" fullCalcOnLoad="1"/>
</workbook>
</file>

<file path=xl/calcChain.xml><?xml version="1.0" encoding="utf-8"?>
<calcChain xmlns="http://schemas.openxmlformats.org/spreadsheetml/2006/main">
  <c r="H272" i="5" l="1"/>
  <c r="H271" i="5"/>
  <c r="H264" i="5"/>
  <c r="H266" i="5"/>
  <c r="H193" i="5"/>
  <c r="G237" i="5"/>
  <c r="H237" i="5"/>
  <c r="I237" i="5"/>
  <c r="F237" i="5"/>
  <c r="I250" i="5"/>
  <c r="H250" i="5"/>
  <c r="I249" i="5"/>
  <c r="H249" i="5"/>
  <c r="G249" i="5"/>
  <c r="F249" i="5"/>
  <c r="I248" i="5"/>
  <c r="H248" i="5"/>
  <c r="G248" i="5"/>
  <c r="F248" i="5"/>
  <c r="I247" i="5"/>
  <c r="H247" i="5"/>
  <c r="G247" i="5"/>
  <c r="F247" i="5"/>
  <c r="F175" i="5"/>
  <c r="I193" i="5"/>
  <c r="I192" i="5"/>
  <c r="I191" i="5"/>
  <c r="I190" i="5"/>
  <c r="H192" i="5"/>
  <c r="H191" i="5"/>
  <c r="H190" i="5"/>
  <c r="G192" i="5"/>
  <c r="F192" i="5"/>
  <c r="G191" i="5"/>
  <c r="F191" i="5"/>
  <c r="F190" i="5"/>
  <c r="G190" i="5"/>
  <c r="I367" i="5"/>
  <c r="H367" i="5"/>
  <c r="G366" i="5"/>
  <c r="G365" i="5"/>
  <c r="H366" i="5"/>
  <c r="H365" i="5"/>
  <c r="I366" i="5"/>
  <c r="I365" i="5"/>
  <c r="F366" i="5"/>
  <c r="F365" i="5"/>
  <c r="I228" i="5"/>
  <c r="I227" i="5"/>
  <c r="I226" i="5"/>
  <c r="I225" i="5"/>
  <c r="I202" i="5"/>
  <c r="G211" i="5"/>
  <c r="F211" i="5"/>
  <c r="H228" i="5"/>
  <c r="H227" i="5"/>
  <c r="H226" i="5"/>
  <c r="H225" i="5"/>
  <c r="H202" i="5"/>
  <c r="G227" i="5"/>
  <c r="F227" i="5"/>
  <c r="G226" i="5"/>
  <c r="G225" i="5"/>
  <c r="G202" i="5"/>
  <c r="F226" i="5"/>
  <c r="F225" i="5"/>
  <c r="F202" i="5"/>
  <c r="I390" i="5"/>
  <c r="H390" i="5"/>
  <c r="H389" i="5"/>
  <c r="H388" i="5"/>
  <c r="H387" i="5"/>
  <c r="G397" i="5"/>
  <c r="F397" i="5"/>
  <c r="G389" i="5"/>
  <c r="G388" i="5"/>
  <c r="G387" i="5"/>
  <c r="I389" i="5"/>
  <c r="I388" i="5"/>
  <c r="I387" i="5"/>
  <c r="F387" i="5"/>
  <c r="F389" i="5"/>
  <c r="F388" i="5"/>
  <c r="F390" i="5"/>
  <c r="G209" i="5"/>
  <c r="I209" i="5"/>
  <c r="F209" i="5"/>
  <c r="F207" i="5"/>
  <c r="F205" i="5"/>
  <c r="F203" i="5"/>
  <c r="G358" i="5"/>
  <c r="I358" i="5"/>
  <c r="F358" i="5"/>
  <c r="F357" i="5"/>
  <c r="F356" i="5"/>
  <c r="F355" i="5"/>
  <c r="F354" i="5"/>
  <c r="F353" i="5"/>
  <c r="G183" i="5"/>
  <c r="G181" i="5"/>
  <c r="G218" i="5"/>
  <c r="G217" i="5"/>
  <c r="G273" i="5"/>
  <c r="F273" i="5"/>
  <c r="G282" i="5"/>
  <c r="G281" i="5"/>
  <c r="G280" i="5"/>
  <c r="F290" i="5"/>
  <c r="I395" i="5"/>
  <c r="I396" i="5"/>
  <c r="H395" i="5"/>
  <c r="G396" i="5"/>
  <c r="F396" i="5"/>
  <c r="H396" i="5"/>
  <c r="H394" i="5"/>
  <c r="H393" i="5"/>
  <c r="H392" i="5"/>
  <c r="H391" i="5"/>
  <c r="I121" i="5"/>
  <c r="H121" i="5"/>
  <c r="G110" i="5"/>
  <c r="G43" i="5"/>
  <c r="F43" i="5"/>
  <c r="H43" i="5"/>
  <c r="F46" i="5"/>
  <c r="F21" i="5"/>
  <c r="F20" i="5"/>
  <c r="F19" i="5"/>
  <c r="G99" i="5"/>
  <c r="F99" i="5"/>
  <c r="F98" i="5"/>
  <c r="G79" i="5"/>
  <c r="F79" i="5"/>
  <c r="F78" i="5"/>
  <c r="I185" i="5"/>
  <c r="I183" i="5"/>
  <c r="H185" i="5"/>
  <c r="H184" i="5"/>
  <c r="H209" i="5"/>
  <c r="H208" i="5"/>
  <c r="I246" i="5"/>
  <c r="H246" i="5"/>
  <c r="H245" i="5"/>
  <c r="G56" i="5"/>
  <c r="F56" i="5"/>
  <c r="G55" i="5"/>
  <c r="G54" i="5"/>
  <c r="F55" i="5"/>
  <c r="F54" i="5"/>
  <c r="F53" i="5"/>
  <c r="F52" i="5"/>
  <c r="G72" i="5"/>
  <c r="I72" i="5"/>
  <c r="F72" i="5"/>
  <c r="G83" i="5"/>
  <c r="F83" i="5"/>
  <c r="H83" i="5"/>
  <c r="H82" i="5"/>
  <c r="G108" i="5"/>
  <c r="I108" i="5"/>
  <c r="F108" i="5"/>
  <c r="F110" i="5"/>
  <c r="G288" i="5"/>
  <c r="I288" i="5"/>
  <c r="F288" i="5"/>
  <c r="H288" i="5"/>
  <c r="F277" i="5"/>
  <c r="F275" i="5"/>
  <c r="F272" i="5"/>
  <c r="F271" i="5"/>
  <c r="F267" i="5"/>
  <c r="G277" i="5"/>
  <c r="I276" i="5"/>
  <c r="H276" i="5"/>
  <c r="F183" i="5"/>
  <c r="F182" i="5"/>
  <c r="I219" i="5"/>
  <c r="I220" i="5"/>
  <c r="H220" i="5"/>
  <c r="H218" i="5"/>
  <c r="H217" i="5"/>
  <c r="F219" i="5"/>
  <c r="F218" i="5"/>
  <c r="F217" i="5"/>
  <c r="G242" i="5"/>
  <c r="F242" i="5"/>
  <c r="F241" i="5"/>
  <c r="G290" i="5"/>
  <c r="I290" i="5"/>
  <c r="I287" i="5"/>
  <c r="I286" i="5"/>
  <c r="I285" i="5"/>
  <c r="I279" i="5"/>
  <c r="I278" i="5"/>
  <c r="G294" i="5"/>
  <c r="F295" i="5"/>
  <c r="F294" i="5"/>
  <c r="G317" i="5"/>
  <c r="G316" i="5"/>
  <c r="G315" i="5"/>
  <c r="G314" i="5"/>
  <c r="F317" i="5"/>
  <c r="G313" i="5"/>
  <c r="F313" i="5"/>
  <c r="H313" i="5"/>
  <c r="H312" i="5"/>
  <c r="F331" i="5"/>
  <c r="G343" i="5"/>
  <c r="G342" i="5"/>
  <c r="G341" i="5"/>
  <c r="G340" i="5"/>
  <c r="G339" i="5"/>
  <c r="G338" i="5"/>
  <c r="G337" i="5"/>
  <c r="I342" i="5"/>
  <c r="F342" i="5"/>
  <c r="H342" i="5"/>
  <c r="F343" i="5"/>
  <c r="H343" i="5"/>
  <c r="I357" i="5"/>
  <c r="I356" i="5"/>
  <c r="I355" i="5"/>
  <c r="I354" i="5"/>
  <c r="I353" i="5"/>
  <c r="I399" i="5"/>
  <c r="I398" i="5"/>
  <c r="H399" i="5"/>
  <c r="H398" i="5"/>
  <c r="G398" i="5"/>
  <c r="F398" i="5"/>
  <c r="F404" i="5"/>
  <c r="F403" i="5"/>
  <c r="F402" i="5"/>
  <c r="F401" i="5"/>
  <c r="F400" i="5"/>
  <c r="G415" i="5"/>
  <c r="F415" i="5"/>
  <c r="H415" i="5"/>
  <c r="H414" i="5"/>
  <c r="F417" i="5"/>
  <c r="I151" i="5"/>
  <c r="I150" i="5"/>
  <c r="I149" i="5"/>
  <c r="I153" i="5"/>
  <c r="I152" i="5"/>
  <c r="H151" i="5"/>
  <c r="H150" i="5"/>
  <c r="H149" i="5"/>
  <c r="H153" i="5"/>
  <c r="H152" i="5"/>
  <c r="G150" i="5"/>
  <c r="G152" i="5"/>
  <c r="F152" i="5"/>
  <c r="F150" i="5"/>
  <c r="G123" i="5"/>
  <c r="G122" i="5"/>
  <c r="F123" i="5"/>
  <c r="G74" i="5"/>
  <c r="G73" i="5"/>
  <c r="F74" i="5"/>
  <c r="F73" i="5"/>
  <c r="I417" i="5"/>
  <c r="I416" i="5"/>
  <c r="G416" i="5"/>
  <c r="I410" i="5"/>
  <c r="I409" i="5"/>
  <c r="I408" i="5"/>
  <c r="I407" i="5"/>
  <c r="I406" i="5"/>
  <c r="H410" i="5"/>
  <c r="H409" i="5"/>
  <c r="H408" i="5"/>
  <c r="H407" i="5"/>
  <c r="H406" i="5"/>
  <c r="G409" i="5"/>
  <c r="G408" i="5"/>
  <c r="G407" i="5"/>
  <c r="G406" i="5"/>
  <c r="F409" i="5"/>
  <c r="F408" i="5"/>
  <c r="F407" i="5"/>
  <c r="F406" i="5"/>
  <c r="I405" i="5"/>
  <c r="I404" i="5"/>
  <c r="I403" i="5"/>
  <c r="I402" i="5"/>
  <c r="I401" i="5"/>
  <c r="I400" i="5"/>
  <c r="G404" i="5"/>
  <c r="G403" i="5"/>
  <c r="G402" i="5"/>
  <c r="G401" i="5"/>
  <c r="G400" i="5"/>
  <c r="I397" i="5"/>
  <c r="I384" i="5"/>
  <c r="H384" i="5"/>
  <c r="I383" i="5"/>
  <c r="H383" i="5"/>
  <c r="G383" i="5"/>
  <c r="F383" i="5"/>
  <c r="I382" i="5"/>
  <c r="H382" i="5"/>
  <c r="I381" i="5"/>
  <c r="H381" i="5"/>
  <c r="G381" i="5"/>
  <c r="F381" i="5"/>
  <c r="I380" i="5"/>
  <c r="H380" i="5"/>
  <c r="H379" i="5"/>
  <c r="H378" i="5"/>
  <c r="I379" i="5"/>
  <c r="I378" i="5"/>
  <c r="G379" i="5"/>
  <c r="F379" i="5"/>
  <c r="I377" i="5"/>
  <c r="H377" i="5"/>
  <c r="H376" i="5"/>
  <c r="H375" i="5"/>
  <c r="H374" i="5"/>
  <c r="I376" i="5"/>
  <c r="I375" i="5"/>
  <c r="I374" i="5"/>
  <c r="G376" i="5"/>
  <c r="G375" i="5"/>
  <c r="F376" i="5"/>
  <c r="F375" i="5"/>
  <c r="I373" i="5"/>
  <c r="H373" i="5"/>
  <c r="G372" i="5"/>
  <c r="I372" i="5"/>
  <c r="I371" i="5"/>
  <c r="I370" i="5"/>
  <c r="F372" i="5"/>
  <c r="I364" i="5"/>
  <c r="H364" i="5"/>
  <c r="I363" i="5"/>
  <c r="I362" i="5"/>
  <c r="I361" i="5"/>
  <c r="I360" i="5"/>
  <c r="H363" i="5"/>
  <c r="H362" i="5"/>
  <c r="H361" i="5"/>
  <c r="H360" i="5"/>
  <c r="H359" i="5"/>
  <c r="G363" i="5"/>
  <c r="G362" i="5"/>
  <c r="G361" i="5"/>
  <c r="G360" i="5"/>
  <c r="F363" i="5"/>
  <c r="F362" i="5"/>
  <c r="F361" i="5"/>
  <c r="F360" i="5"/>
  <c r="F359" i="5"/>
  <c r="I351" i="5"/>
  <c r="H351" i="5"/>
  <c r="H350" i="5"/>
  <c r="H349" i="5"/>
  <c r="H348" i="5"/>
  <c r="H347" i="5"/>
  <c r="H346" i="5"/>
  <c r="H345" i="5"/>
  <c r="I350" i="5"/>
  <c r="I349" i="5"/>
  <c r="I348" i="5"/>
  <c r="I347" i="5"/>
  <c r="I346" i="5"/>
  <c r="I345" i="5"/>
  <c r="G350" i="5"/>
  <c r="G349" i="5"/>
  <c r="G348" i="5"/>
  <c r="G347" i="5"/>
  <c r="G346" i="5"/>
  <c r="G345" i="5"/>
  <c r="F350" i="5"/>
  <c r="F349" i="5"/>
  <c r="F348" i="5"/>
  <c r="F347" i="5"/>
  <c r="F346" i="5"/>
  <c r="F345" i="5"/>
  <c r="I344" i="5"/>
  <c r="H344" i="5"/>
  <c r="I336" i="5"/>
  <c r="H336" i="5"/>
  <c r="H334" i="5"/>
  <c r="I335" i="5"/>
  <c r="H335" i="5"/>
  <c r="G335" i="5"/>
  <c r="F335" i="5"/>
  <c r="I334" i="5"/>
  <c r="I333" i="5"/>
  <c r="H333" i="5"/>
  <c r="G334" i="5"/>
  <c r="G333" i="5"/>
  <c r="F334" i="5"/>
  <c r="F333" i="5"/>
  <c r="I332" i="5"/>
  <c r="H332" i="5"/>
  <c r="G332" i="5"/>
  <c r="F332" i="5"/>
  <c r="I331" i="5"/>
  <c r="H331" i="5"/>
  <c r="G331" i="5"/>
  <c r="G325" i="5"/>
  <c r="G324" i="5"/>
  <c r="F325" i="5"/>
  <c r="H325" i="5"/>
  <c r="H324" i="5"/>
  <c r="H323" i="5"/>
  <c r="H322" i="5"/>
  <c r="G321" i="5"/>
  <c r="F321" i="5"/>
  <c r="F320" i="5"/>
  <c r="F319" i="5"/>
  <c r="F318" i="5"/>
  <c r="I320" i="5"/>
  <c r="I319" i="5"/>
  <c r="I318" i="5"/>
  <c r="H320" i="5"/>
  <c r="H319" i="5"/>
  <c r="H318" i="5"/>
  <c r="G320" i="5"/>
  <c r="G319" i="5"/>
  <c r="G318" i="5"/>
  <c r="I311" i="5"/>
  <c r="H311" i="5"/>
  <c r="I310" i="5"/>
  <c r="H310" i="5"/>
  <c r="G310" i="5"/>
  <c r="F310" i="5"/>
  <c r="I328" i="5"/>
  <c r="I327" i="5"/>
  <c r="I326" i="5"/>
  <c r="H328" i="5"/>
  <c r="H327" i="5"/>
  <c r="H326" i="5"/>
  <c r="G328" i="5"/>
  <c r="G327" i="5"/>
  <c r="G326" i="5"/>
  <c r="F328" i="5"/>
  <c r="F327" i="5"/>
  <c r="F326" i="5"/>
  <c r="I304" i="5"/>
  <c r="I303" i="5"/>
  <c r="I302" i="5"/>
  <c r="I301" i="5"/>
  <c r="H304" i="5"/>
  <c r="H303" i="5"/>
  <c r="H302" i="5"/>
  <c r="H301" i="5"/>
  <c r="G303" i="5"/>
  <c r="G302" i="5"/>
  <c r="G301" i="5"/>
  <c r="F303" i="5"/>
  <c r="F302" i="5"/>
  <c r="F301" i="5"/>
  <c r="I300" i="5"/>
  <c r="I299" i="5"/>
  <c r="I298" i="5"/>
  <c r="I297" i="5"/>
  <c r="H300" i="5"/>
  <c r="H299" i="5"/>
  <c r="H298" i="5"/>
  <c r="H297" i="5"/>
  <c r="G299" i="5"/>
  <c r="G298" i="5"/>
  <c r="G297" i="5"/>
  <c r="F299" i="5"/>
  <c r="F298" i="5"/>
  <c r="F297" i="5"/>
  <c r="I296" i="5"/>
  <c r="H296" i="5"/>
  <c r="I291" i="5"/>
  <c r="H291" i="5"/>
  <c r="I284" i="5"/>
  <c r="H284" i="5"/>
  <c r="I283" i="5"/>
  <c r="I282" i="5"/>
  <c r="I281" i="5"/>
  <c r="I280" i="5"/>
  <c r="H283" i="5"/>
  <c r="F282" i="5"/>
  <c r="F281" i="5"/>
  <c r="F280" i="5"/>
  <c r="I263" i="5"/>
  <c r="I262" i="5"/>
  <c r="I261" i="5"/>
  <c r="I260" i="5"/>
  <c r="H263" i="5"/>
  <c r="H262" i="5"/>
  <c r="H261" i="5"/>
  <c r="H260" i="5"/>
  <c r="G262" i="5"/>
  <c r="G261" i="5"/>
  <c r="G260" i="5"/>
  <c r="F262" i="5"/>
  <c r="F261" i="5"/>
  <c r="F260" i="5"/>
  <c r="I270" i="5"/>
  <c r="I269" i="5"/>
  <c r="I266" i="5"/>
  <c r="I265" i="5"/>
  <c r="H270" i="5"/>
  <c r="H269" i="5"/>
  <c r="G269" i="5"/>
  <c r="F269" i="5"/>
  <c r="I268" i="5"/>
  <c r="I267" i="5"/>
  <c r="H268" i="5"/>
  <c r="H267" i="5"/>
  <c r="H265" i="5"/>
  <c r="G267" i="5"/>
  <c r="I274" i="5"/>
  <c r="I273" i="5"/>
  <c r="H274" i="5"/>
  <c r="H273" i="5"/>
  <c r="I259" i="5"/>
  <c r="I258" i="5"/>
  <c r="I257" i="5"/>
  <c r="I256" i="5"/>
  <c r="H259" i="5"/>
  <c r="H258" i="5"/>
  <c r="H257" i="5"/>
  <c r="H256" i="5"/>
  <c r="G258" i="5"/>
  <c r="G257" i="5"/>
  <c r="G256" i="5"/>
  <c r="F258" i="5"/>
  <c r="F257" i="5"/>
  <c r="F256" i="5"/>
  <c r="I254" i="5"/>
  <c r="I253" i="5"/>
  <c r="I252" i="5"/>
  <c r="I251" i="5"/>
  <c r="H254" i="5"/>
  <c r="H253" i="5"/>
  <c r="H252" i="5"/>
  <c r="H251" i="5"/>
  <c r="G253" i="5"/>
  <c r="G252" i="5"/>
  <c r="G251" i="5"/>
  <c r="F253" i="5"/>
  <c r="F252" i="5"/>
  <c r="F251" i="5"/>
  <c r="G245" i="5"/>
  <c r="F245" i="5"/>
  <c r="I244" i="5"/>
  <c r="I243" i="5"/>
  <c r="H244" i="5"/>
  <c r="H243" i="5"/>
  <c r="G243" i="5"/>
  <c r="F243" i="5"/>
  <c r="G235" i="5"/>
  <c r="G234" i="5"/>
  <c r="G233" i="5"/>
  <c r="I232" i="5"/>
  <c r="I231" i="5"/>
  <c r="I230" i="5"/>
  <c r="I229" i="5"/>
  <c r="H232" i="5"/>
  <c r="H231" i="5"/>
  <c r="H230" i="5"/>
  <c r="H229" i="5"/>
  <c r="G231" i="5"/>
  <c r="G230" i="5"/>
  <c r="G229" i="5"/>
  <c r="F231" i="5"/>
  <c r="F230" i="5"/>
  <c r="F229" i="5"/>
  <c r="I224" i="5"/>
  <c r="I223" i="5"/>
  <c r="I222" i="5"/>
  <c r="I221" i="5"/>
  <c r="H224" i="5"/>
  <c r="H223" i="5"/>
  <c r="H222" i="5"/>
  <c r="H221" i="5"/>
  <c r="G223" i="5"/>
  <c r="G222" i="5"/>
  <c r="G221" i="5"/>
  <c r="F223" i="5"/>
  <c r="F222" i="5"/>
  <c r="F221" i="5"/>
  <c r="I216" i="5"/>
  <c r="H216" i="5"/>
  <c r="I215" i="5"/>
  <c r="H215" i="5"/>
  <c r="G215" i="5"/>
  <c r="F215" i="5"/>
  <c r="I214" i="5"/>
  <c r="H214" i="5"/>
  <c r="I213" i="5"/>
  <c r="H213" i="5"/>
  <c r="G213" i="5"/>
  <c r="F213" i="5"/>
  <c r="I212" i="5"/>
  <c r="H212" i="5"/>
  <c r="G212" i="5"/>
  <c r="F212" i="5"/>
  <c r="H211" i="5"/>
  <c r="H210" i="5"/>
  <c r="F210" i="5"/>
  <c r="I208" i="5"/>
  <c r="G208" i="5"/>
  <c r="F208" i="5"/>
  <c r="I201" i="5"/>
  <c r="H201" i="5"/>
  <c r="H200" i="5"/>
  <c r="H199" i="5"/>
  <c r="H198" i="5"/>
  <c r="I200" i="5"/>
  <c r="I199" i="5"/>
  <c r="I198" i="5"/>
  <c r="G200" i="5"/>
  <c r="G199" i="5"/>
  <c r="G198" i="5"/>
  <c r="F200" i="5"/>
  <c r="F199" i="5"/>
  <c r="F198" i="5"/>
  <c r="I197" i="5"/>
  <c r="I196" i="5"/>
  <c r="I195" i="5"/>
  <c r="I194" i="5"/>
  <c r="H197" i="5"/>
  <c r="H196" i="5"/>
  <c r="H195" i="5"/>
  <c r="H194" i="5"/>
  <c r="G196" i="5"/>
  <c r="G195" i="5"/>
  <c r="G194" i="5"/>
  <c r="F196" i="5"/>
  <c r="F195" i="5"/>
  <c r="F194" i="5"/>
  <c r="I189" i="5"/>
  <c r="I188" i="5"/>
  <c r="I187" i="5"/>
  <c r="I186" i="5"/>
  <c r="I175" i="5"/>
  <c r="H189" i="5"/>
  <c r="H188" i="5"/>
  <c r="H187" i="5"/>
  <c r="H186" i="5"/>
  <c r="H175" i="5"/>
  <c r="G188" i="5"/>
  <c r="G187" i="5"/>
  <c r="G186" i="5"/>
  <c r="G175" i="5"/>
  <c r="F188" i="5"/>
  <c r="F187" i="5"/>
  <c r="F186" i="5"/>
  <c r="I184" i="5"/>
  <c r="G184" i="5"/>
  <c r="F184" i="5"/>
  <c r="I180" i="5"/>
  <c r="H180" i="5"/>
  <c r="I179" i="5"/>
  <c r="H179" i="5"/>
  <c r="G179" i="5"/>
  <c r="F179" i="5"/>
  <c r="I178" i="5"/>
  <c r="H178" i="5"/>
  <c r="H177" i="5"/>
  <c r="H176" i="5"/>
  <c r="G178" i="5"/>
  <c r="F178" i="5"/>
  <c r="F177" i="5"/>
  <c r="F176" i="5"/>
  <c r="I173" i="5"/>
  <c r="I168" i="5"/>
  <c r="H173" i="5"/>
  <c r="H168" i="5"/>
  <c r="I172" i="5"/>
  <c r="I171" i="5"/>
  <c r="I170" i="5"/>
  <c r="I169" i="5"/>
  <c r="G172" i="5"/>
  <c r="G171" i="5"/>
  <c r="G170" i="5"/>
  <c r="G169" i="5"/>
  <c r="F172" i="5"/>
  <c r="F171" i="5"/>
  <c r="F170" i="5"/>
  <c r="F169" i="5"/>
  <c r="G168" i="5"/>
  <c r="F168" i="5"/>
  <c r="I167" i="5"/>
  <c r="I166" i="5"/>
  <c r="I162" i="5"/>
  <c r="H167" i="5"/>
  <c r="H166" i="5"/>
  <c r="G166" i="5"/>
  <c r="F166" i="5"/>
  <c r="I165" i="5"/>
  <c r="H165" i="5"/>
  <c r="I164" i="5"/>
  <c r="H164" i="5"/>
  <c r="I163" i="5"/>
  <c r="H163" i="5"/>
  <c r="G163" i="5"/>
  <c r="G162" i="5"/>
  <c r="G161" i="5"/>
  <c r="F163" i="5"/>
  <c r="F162" i="5"/>
  <c r="F161" i="5"/>
  <c r="G160" i="5"/>
  <c r="G159" i="5"/>
  <c r="F160" i="5"/>
  <c r="I157" i="5"/>
  <c r="I156" i="5"/>
  <c r="I155" i="5"/>
  <c r="I154" i="5"/>
  <c r="I147" i="5"/>
  <c r="I146" i="5"/>
  <c r="I145" i="5"/>
  <c r="H157" i="5"/>
  <c r="H156" i="5"/>
  <c r="H155" i="5"/>
  <c r="H154" i="5"/>
  <c r="H147" i="5"/>
  <c r="H146" i="5"/>
  <c r="H145" i="5"/>
  <c r="G156" i="5"/>
  <c r="G155" i="5"/>
  <c r="G154" i="5"/>
  <c r="G147" i="5"/>
  <c r="G146" i="5"/>
  <c r="G145" i="5"/>
  <c r="F156" i="5"/>
  <c r="F155" i="5"/>
  <c r="F154" i="5"/>
  <c r="F147" i="5"/>
  <c r="F146" i="5"/>
  <c r="F145" i="5"/>
  <c r="G143" i="5"/>
  <c r="F143" i="5"/>
  <c r="G142" i="5"/>
  <c r="F142" i="5"/>
  <c r="I141" i="5"/>
  <c r="I140" i="5"/>
  <c r="I139" i="5"/>
  <c r="I138" i="5"/>
  <c r="H141" i="5"/>
  <c r="H140" i="5"/>
  <c r="H139" i="5"/>
  <c r="H138" i="5"/>
  <c r="G140" i="5"/>
  <c r="G139" i="5"/>
  <c r="G138" i="5"/>
  <c r="F140" i="5"/>
  <c r="F139" i="5"/>
  <c r="F138" i="5"/>
  <c r="I137" i="5"/>
  <c r="H137" i="5"/>
  <c r="I136" i="5"/>
  <c r="H136" i="5"/>
  <c r="G136" i="5"/>
  <c r="F136" i="5"/>
  <c r="I135" i="5"/>
  <c r="I134" i="5"/>
  <c r="I133" i="5"/>
  <c r="I132" i="5"/>
  <c r="I131" i="5"/>
  <c r="I130" i="5"/>
  <c r="I129" i="5"/>
  <c r="H135" i="5"/>
  <c r="H134" i="5"/>
  <c r="H133" i="5"/>
  <c r="H132" i="5"/>
  <c r="H131" i="5"/>
  <c r="H130" i="5"/>
  <c r="G134" i="5"/>
  <c r="F134" i="5"/>
  <c r="F133" i="5"/>
  <c r="F132" i="5"/>
  <c r="F131" i="5"/>
  <c r="F130" i="5"/>
  <c r="F129" i="5"/>
  <c r="I128" i="5"/>
  <c r="I127" i="5"/>
  <c r="I126" i="5"/>
  <c r="I125" i="5"/>
  <c r="I124" i="5"/>
  <c r="I116" i="5"/>
  <c r="H128" i="5"/>
  <c r="H127" i="5"/>
  <c r="H126" i="5"/>
  <c r="H125" i="5"/>
  <c r="H124" i="5"/>
  <c r="H116" i="5"/>
  <c r="G127" i="5"/>
  <c r="G126" i="5"/>
  <c r="G125" i="5"/>
  <c r="G124" i="5"/>
  <c r="G116" i="5"/>
  <c r="F127" i="5"/>
  <c r="F126" i="5"/>
  <c r="F125" i="5"/>
  <c r="F124" i="5"/>
  <c r="I120" i="5"/>
  <c r="I119" i="5"/>
  <c r="H120" i="5"/>
  <c r="G119" i="5"/>
  <c r="F119" i="5"/>
  <c r="I115" i="5"/>
  <c r="I114" i="5"/>
  <c r="I113" i="5"/>
  <c r="H115" i="5"/>
  <c r="H114" i="5"/>
  <c r="H112" i="5"/>
  <c r="H111" i="5"/>
  <c r="G114" i="5"/>
  <c r="G113" i="5"/>
  <c r="F114" i="5"/>
  <c r="F113" i="5"/>
  <c r="H110" i="5"/>
  <c r="H109" i="5"/>
  <c r="F109" i="5"/>
  <c r="G106" i="5"/>
  <c r="F106" i="5"/>
  <c r="I104" i="5"/>
  <c r="H104" i="5"/>
  <c r="I103" i="5"/>
  <c r="H103" i="5"/>
  <c r="H101" i="5"/>
  <c r="H77" i="5"/>
  <c r="I102" i="5"/>
  <c r="I101" i="5"/>
  <c r="I77" i="5"/>
  <c r="H102" i="5"/>
  <c r="G101" i="5"/>
  <c r="F101" i="5"/>
  <c r="I97" i="5"/>
  <c r="H97" i="5"/>
  <c r="I96" i="5"/>
  <c r="H96" i="5"/>
  <c r="G96" i="5"/>
  <c r="F96" i="5"/>
  <c r="I95" i="5"/>
  <c r="I94" i="5"/>
  <c r="H95" i="5"/>
  <c r="H94" i="5"/>
  <c r="G94" i="5"/>
  <c r="F94" i="5"/>
  <c r="I93" i="5"/>
  <c r="H93" i="5"/>
  <c r="I92" i="5"/>
  <c r="H92" i="5"/>
  <c r="G92" i="5"/>
  <c r="F92" i="5"/>
  <c r="I91" i="5"/>
  <c r="H91" i="5"/>
  <c r="H90" i="5"/>
  <c r="I90" i="5"/>
  <c r="G90" i="5"/>
  <c r="F90" i="5"/>
  <c r="I89" i="5"/>
  <c r="H89" i="5"/>
  <c r="H87" i="5"/>
  <c r="I88" i="5"/>
  <c r="I87" i="5"/>
  <c r="H88" i="5"/>
  <c r="G87" i="5"/>
  <c r="F87" i="5"/>
  <c r="I86" i="5"/>
  <c r="H86" i="5"/>
  <c r="I85" i="5"/>
  <c r="H85" i="5"/>
  <c r="I84" i="5"/>
  <c r="H84" i="5"/>
  <c r="G84" i="5"/>
  <c r="F84" i="5"/>
  <c r="I83" i="5"/>
  <c r="I82" i="5"/>
  <c r="I81" i="5"/>
  <c r="H81" i="5"/>
  <c r="I79" i="5"/>
  <c r="I80" i="5"/>
  <c r="I78" i="5"/>
  <c r="G78" i="5"/>
  <c r="I99" i="5"/>
  <c r="I100" i="5"/>
  <c r="G98" i="5"/>
  <c r="I68" i="5"/>
  <c r="H68" i="5"/>
  <c r="I67" i="5"/>
  <c r="H67" i="5"/>
  <c r="I66" i="5"/>
  <c r="I65" i="5"/>
  <c r="I64" i="5"/>
  <c r="I63" i="5"/>
  <c r="G66" i="5"/>
  <c r="G65" i="5"/>
  <c r="G64" i="5"/>
  <c r="G63" i="5"/>
  <c r="F66" i="5"/>
  <c r="F65" i="5"/>
  <c r="F64" i="5"/>
  <c r="F63" i="5"/>
  <c r="I71" i="5"/>
  <c r="I70" i="5"/>
  <c r="I69" i="5"/>
  <c r="I76" i="5"/>
  <c r="I75" i="5"/>
  <c r="I74" i="5"/>
  <c r="I73" i="5"/>
  <c r="H76" i="5"/>
  <c r="H75" i="5"/>
  <c r="H74" i="5"/>
  <c r="H73" i="5"/>
  <c r="G61" i="5"/>
  <c r="I61" i="5"/>
  <c r="I59" i="5"/>
  <c r="F61" i="5"/>
  <c r="G60" i="5"/>
  <c r="G58" i="5"/>
  <c r="I57" i="5"/>
  <c r="H57" i="5"/>
  <c r="I51" i="5"/>
  <c r="H51" i="5"/>
  <c r="I50" i="5"/>
  <c r="H50" i="5"/>
  <c r="G50" i="5"/>
  <c r="F50" i="5"/>
  <c r="I49" i="5"/>
  <c r="H49" i="5"/>
  <c r="G49" i="5"/>
  <c r="F49" i="5"/>
  <c r="I48" i="5"/>
  <c r="H48" i="5"/>
  <c r="G48" i="5"/>
  <c r="F48" i="5"/>
  <c r="I47" i="5"/>
  <c r="H47" i="5"/>
  <c r="I46" i="5"/>
  <c r="H46" i="5"/>
  <c r="G46" i="5"/>
  <c r="G45" i="5"/>
  <c r="I45" i="5"/>
  <c r="F45" i="5"/>
  <c r="H45" i="5"/>
  <c r="I40" i="5"/>
  <c r="I39" i="5"/>
  <c r="I38" i="5"/>
  <c r="I37" i="5"/>
  <c r="I36" i="5"/>
  <c r="H40" i="5"/>
  <c r="H39" i="5"/>
  <c r="H38" i="5"/>
  <c r="H37" i="5"/>
  <c r="H36" i="5"/>
  <c r="G39" i="5"/>
  <c r="G38" i="5"/>
  <c r="G37" i="5"/>
  <c r="G36" i="5"/>
  <c r="F39" i="5"/>
  <c r="F38" i="5"/>
  <c r="F37" i="5"/>
  <c r="F36" i="5"/>
  <c r="I34" i="5"/>
  <c r="I35" i="5"/>
  <c r="H34" i="5"/>
  <c r="H35" i="5"/>
  <c r="G33" i="5"/>
  <c r="G32" i="5"/>
  <c r="G31" i="5"/>
  <c r="F33" i="5"/>
  <c r="F32" i="5"/>
  <c r="F31" i="5"/>
  <c r="I30" i="5"/>
  <c r="I29" i="5"/>
  <c r="I28" i="5"/>
  <c r="I27" i="5"/>
  <c r="I26" i="5"/>
  <c r="H30" i="5"/>
  <c r="H29" i="5"/>
  <c r="H28" i="5"/>
  <c r="H27" i="5"/>
  <c r="H26" i="5"/>
  <c r="G29" i="5"/>
  <c r="G28" i="5"/>
  <c r="G27" i="5"/>
  <c r="G26" i="5"/>
  <c r="F29" i="5"/>
  <c r="F28" i="5"/>
  <c r="F27" i="5"/>
  <c r="F26" i="5"/>
  <c r="I24" i="5"/>
  <c r="H24" i="5"/>
  <c r="I22" i="5"/>
  <c r="H22" i="5"/>
  <c r="G21" i="5"/>
  <c r="G20" i="5"/>
  <c r="G19" i="5"/>
  <c r="I18" i="5"/>
  <c r="I17" i="5"/>
  <c r="H18" i="5"/>
  <c r="H17" i="5"/>
  <c r="G17" i="5"/>
  <c r="F17" i="5"/>
  <c r="G16" i="5"/>
  <c r="G15" i="5"/>
  <c r="F16" i="5"/>
  <c r="F15" i="5"/>
  <c r="I236" i="5"/>
  <c r="I235" i="5"/>
  <c r="I234" i="5"/>
  <c r="I233" i="5"/>
  <c r="H405" i="5"/>
  <c r="H404" i="5"/>
  <c r="H403" i="5"/>
  <c r="H402" i="5"/>
  <c r="H401" i="5"/>
  <c r="H400" i="5"/>
  <c r="H397" i="5"/>
  <c r="I317" i="5"/>
  <c r="I316" i="5"/>
  <c r="I315" i="5"/>
  <c r="I314" i="5"/>
  <c r="G357" i="5"/>
  <c r="G356" i="5"/>
  <c r="G355" i="5"/>
  <c r="G354" i="5"/>
  <c r="G353" i="5"/>
  <c r="F82" i="5"/>
  <c r="G71" i="5"/>
  <c r="G70" i="5"/>
  <c r="G69" i="5"/>
  <c r="F312" i="5"/>
  <c r="I294" i="5"/>
  <c r="H219" i="5"/>
  <c r="G59" i="5"/>
  <c r="G158" i="5"/>
  <c r="H358" i="5"/>
  <c r="H357" i="5"/>
  <c r="H356" i="5"/>
  <c r="H355" i="5"/>
  <c r="H354" i="5"/>
  <c r="H353" i="5"/>
  <c r="I160" i="5"/>
  <c r="I159" i="5"/>
  <c r="I325" i="5"/>
  <c r="I324" i="5"/>
  <c r="I323" i="5"/>
  <c r="I322" i="5"/>
  <c r="G323" i="5"/>
  <c r="G322" i="5"/>
  <c r="F341" i="5"/>
  <c r="F340" i="5"/>
  <c r="F339" i="5"/>
  <c r="F338" i="5"/>
  <c r="F337" i="5"/>
  <c r="I55" i="5"/>
  <c r="G53" i="5"/>
  <c r="G52" i="5"/>
  <c r="H236" i="5"/>
  <c r="H235" i="5"/>
  <c r="H234" i="5"/>
  <c r="H233" i="5"/>
  <c r="F235" i="5"/>
  <c r="F234" i="5"/>
  <c r="F233" i="5"/>
  <c r="H294" i="5"/>
  <c r="H295" i="5"/>
  <c r="G82" i="5"/>
  <c r="I106" i="5"/>
  <c r="I105" i="5"/>
  <c r="G105" i="5"/>
  <c r="F414" i="5"/>
  <c r="F413" i="5"/>
  <c r="F412" i="5"/>
  <c r="F411" i="5"/>
  <c r="F293" i="5"/>
  <c r="F292" i="5"/>
  <c r="I158" i="5"/>
  <c r="I343" i="5"/>
  <c r="H55" i="5"/>
  <c r="H56" i="5"/>
  <c r="H54" i="5"/>
  <c r="H53" i="5"/>
  <c r="H52" i="5"/>
  <c r="H99" i="5"/>
  <c r="H100" i="5"/>
  <c r="H98" i="5"/>
  <c r="H61" i="5"/>
  <c r="H60" i="5"/>
  <c r="H58" i="5"/>
  <c r="H417" i="5"/>
  <c r="H416" i="5"/>
  <c r="F416" i="5"/>
  <c r="G414" i="5"/>
  <c r="I415" i="5"/>
  <c r="I414" i="5"/>
  <c r="I110" i="5"/>
  <c r="I109" i="5"/>
  <c r="G109" i="5"/>
  <c r="F324" i="5"/>
  <c r="F323" i="5"/>
  <c r="F322" i="5"/>
  <c r="H79" i="5"/>
  <c r="H80" i="5"/>
  <c r="F289" i="5"/>
  <c r="H289" i="5"/>
  <c r="G133" i="5"/>
  <c r="G132" i="5"/>
  <c r="G131" i="5"/>
  <c r="G130" i="5"/>
  <c r="G129" i="5"/>
  <c r="H160" i="5"/>
  <c r="H158" i="5"/>
  <c r="F158" i="5"/>
  <c r="F159" i="5"/>
  <c r="F394" i="5"/>
  <c r="G289" i="5"/>
  <c r="I289" i="5"/>
  <c r="G295" i="5"/>
  <c r="F122" i="5"/>
  <c r="G394" i="5"/>
  <c r="G393" i="5"/>
  <c r="G392" i="5"/>
  <c r="G391" i="5"/>
  <c r="I182" i="5"/>
  <c r="H277" i="5"/>
  <c r="H275" i="5"/>
  <c r="G182" i="5"/>
  <c r="G371" i="5"/>
  <c r="G370" i="5"/>
  <c r="G177" i="5"/>
  <c r="G176" i="5"/>
  <c r="F240" i="5"/>
  <c r="F239" i="5"/>
  <c r="F238" i="5"/>
  <c r="F378" i="5"/>
  <c r="F374" i="5"/>
  <c r="H148" i="5"/>
  <c r="I148" i="5"/>
  <c r="H162" i="5"/>
  <c r="H161" i="5"/>
  <c r="I161" i="5"/>
  <c r="G266" i="5"/>
  <c r="G265" i="5"/>
  <c r="I394" i="5"/>
  <c r="I393" i="5"/>
  <c r="I392" i="5"/>
  <c r="I391" i="5"/>
  <c r="I295" i="5"/>
  <c r="I293" i="5"/>
  <c r="I292" i="5"/>
  <c r="I60" i="5"/>
  <c r="I58" i="5"/>
  <c r="F118" i="5"/>
  <c r="F117" i="5"/>
  <c r="H23" i="5"/>
  <c r="H21" i="5"/>
  <c r="H20" i="5"/>
  <c r="H19" i="5"/>
  <c r="H413" i="5"/>
  <c r="H412" i="5"/>
  <c r="H411" i="5"/>
  <c r="F393" i="5"/>
  <c r="F392" i="5"/>
  <c r="F391" i="5"/>
  <c r="H78" i="5"/>
  <c r="I23" i="5"/>
  <c r="I21" i="5"/>
  <c r="I20" i="5"/>
  <c r="I19" i="5"/>
  <c r="I123" i="5"/>
  <c r="I122" i="5"/>
  <c r="F309" i="5"/>
  <c r="F308" i="5"/>
  <c r="G378" i="5"/>
  <c r="G413" i="5"/>
  <c r="G412" i="5"/>
  <c r="G411" i="5"/>
  <c r="H33" i="5"/>
  <c r="H32" i="5"/>
  <c r="H31" i="5"/>
  <c r="H66" i="5"/>
  <c r="H65" i="5"/>
  <c r="H64" i="5"/>
  <c r="H63" i="5"/>
  <c r="F149" i="5"/>
  <c r="F148" i="5"/>
  <c r="G149" i="5"/>
  <c r="G148" i="5"/>
  <c r="F266" i="5"/>
  <c r="F265" i="5"/>
  <c r="H59" i="5"/>
  <c r="G287" i="5"/>
  <c r="G286" i="5"/>
  <c r="H242" i="5"/>
  <c r="H241" i="5"/>
  <c r="H240" i="5"/>
  <c r="H239" i="5"/>
  <c r="H238" i="5"/>
  <c r="H16" i="5"/>
  <c r="H15" i="5"/>
  <c r="I413" i="5"/>
  <c r="I412" i="5"/>
  <c r="I411" i="5"/>
  <c r="I33" i="5"/>
  <c r="I32" i="5"/>
  <c r="I31" i="5"/>
  <c r="G241" i="5"/>
  <c r="G240" i="5"/>
  <c r="G239" i="5"/>
  <c r="G238" i="5"/>
  <c r="F181" i="5"/>
  <c r="H282" i="5"/>
  <c r="H281" i="5"/>
  <c r="H280" i="5"/>
  <c r="H341" i="5"/>
  <c r="H340" i="5"/>
  <c r="H339" i="5"/>
  <c r="H338" i="5"/>
  <c r="H337" i="5"/>
  <c r="F371" i="5"/>
  <c r="F370" i="5"/>
  <c r="F369" i="5"/>
  <c r="F368" i="5"/>
  <c r="H372" i="5"/>
  <c r="H371" i="5"/>
  <c r="H370" i="5"/>
  <c r="G293" i="5"/>
  <c r="G292" i="5"/>
  <c r="H172" i="5"/>
  <c r="H171" i="5"/>
  <c r="H170" i="5"/>
  <c r="H169" i="5"/>
  <c r="H119" i="5"/>
  <c r="G118" i="5"/>
  <c r="G117" i="5"/>
  <c r="H309" i="5"/>
  <c r="H123" i="5"/>
  <c r="H122" i="5"/>
  <c r="H293" i="5"/>
  <c r="H292" i="5"/>
  <c r="H183" i="5"/>
  <c r="I16" i="5"/>
  <c r="I15" i="5"/>
  <c r="I218" i="5"/>
  <c r="I217" i="5"/>
  <c r="I181" i="5"/>
  <c r="I177" i="5"/>
  <c r="I176" i="5"/>
  <c r="G285" i="5"/>
  <c r="H118" i="5"/>
  <c r="H117" i="5"/>
  <c r="H308" i="5"/>
  <c r="H181" i="5"/>
  <c r="H182" i="5"/>
  <c r="F206" i="5"/>
  <c r="F204" i="5"/>
  <c r="I369" i="5"/>
  <c r="I368" i="5"/>
  <c r="G112" i="5"/>
  <c r="G111" i="5"/>
  <c r="H385" i="5"/>
  <c r="F386" i="5"/>
  <c r="F385" i="5"/>
  <c r="I386" i="5"/>
  <c r="I385" i="5"/>
  <c r="G386" i="5"/>
  <c r="G385" i="5"/>
  <c r="H386" i="5"/>
  <c r="G369" i="5"/>
  <c r="G368" i="5"/>
  <c r="H287" i="5"/>
  <c r="H286" i="5"/>
  <c r="H285" i="5"/>
  <c r="F352" i="5"/>
  <c r="H369" i="5"/>
  <c r="H368" i="5"/>
  <c r="H352" i="5"/>
  <c r="F264" i="5"/>
  <c r="F255" i="5"/>
  <c r="F116" i="5"/>
  <c r="I118" i="5"/>
  <c r="I117" i="5"/>
  <c r="H279" i="5"/>
  <c r="H278" i="5"/>
  <c r="H106" i="5"/>
  <c r="H105" i="5"/>
  <c r="F105" i="5"/>
  <c r="F77" i="5"/>
  <c r="F316" i="5"/>
  <c r="F315" i="5"/>
  <c r="F314" i="5"/>
  <c r="H317" i="5"/>
  <c r="H316" i="5"/>
  <c r="H315" i="5"/>
  <c r="H314" i="5"/>
  <c r="G275" i="5"/>
  <c r="G272" i="5"/>
  <c r="G271" i="5"/>
  <c r="G264" i="5"/>
  <c r="I277" i="5"/>
  <c r="I275" i="5"/>
  <c r="H108" i="5"/>
  <c r="H44" i="5"/>
  <c r="H42" i="5"/>
  <c r="H41" i="5"/>
  <c r="H25" i="5"/>
  <c r="F107" i="5"/>
  <c r="G107" i="5"/>
  <c r="I211" i="5"/>
  <c r="I210" i="5"/>
  <c r="G210" i="5"/>
  <c r="I25" i="5"/>
  <c r="F307" i="5"/>
  <c r="F306" i="5"/>
  <c r="H207" i="5"/>
  <c r="H159" i="5"/>
  <c r="F287" i="5"/>
  <c r="F286" i="5"/>
  <c r="F285" i="5"/>
  <c r="F279" i="5"/>
  <c r="F278" i="5"/>
  <c r="F42" i="5"/>
  <c r="F41" i="5"/>
  <c r="F25" i="5"/>
  <c r="F305" i="5"/>
  <c r="F60" i="5"/>
  <c r="F58" i="5"/>
  <c r="F59" i="5"/>
  <c r="I98" i="5"/>
  <c r="I272" i="5"/>
  <c r="I271" i="5"/>
  <c r="I264" i="5"/>
  <c r="I255" i="5"/>
  <c r="G374" i="5"/>
  <c r="G312" i="5"/>
  <c r="G309" i="5"/>
  <c r="I313" i="5"/>
  <c r="I312" i="5"/>
  <c r="I309" i="5"/>
  <c r="H72" i="5"/>
  <c r="H71" i="5"/>
  <c r="H70" i="5"/>
  <c r="H69" i="5"/>
  <c r="H62" i="5"/>
  <c r="F71" i="5"/>
  <c r="F70" i="5"/>
  <c r="F69" i="5"/>
  <c r="I56" i="5"/>
  <c r="I54" i="5"/>
  <c r="I53" i="5"/>
  <c r="I52" i="5"/>
  <c r="I245" i="5"/>
  <c r="I242" i="5"/>
  <c r="I241" i="5"/>
  <c r="I240" i="5"/>
  <c r="I239" i="5"/>
  <c r="I238" i="5"/>
  <c r="I43" i="5"/>
  <c r="I44" i="5"/>
  <c r="I42" i="5"/>
  <c r="I41" i="5"/>
  <c r="G42" i="5"/>
  <c r="G41" i="5"/>
  <c r="G25" i="5"/>
  <c r="H290" i="5"/>
  <c r="G359" i="5"/>
  <c r="I359" i="5"/>
  <c r="G279" i="5"/>
  <c r="G278" i="5"/>
  <c r="G207" i="5"/>
  <c r="I341" i="5"/>
  <c r="I340" i="5"/>
  <c r="I339" i="5"/>
  <c r="I338" i="5"/>
  <c r="I337" i="5"/>
  <c r="H113" i="5"/>
  <c r="I352" i="5"/>
  <c r="G352" i="5"/>
  <c r="G255" i="5"/>
  <c r="F112" i="5"/>
  <c r="F111" i="5"/>
  <c r="H255" i="5"/>
  <c r="I308" i="5"/>
  <c r="I307" i="5"/>
  <c r="I306" i="5"/>
  <c r="I305" i="5"/>
  <c r="I144" i="5"/>
  <c r="G308" i="5"/>
  <c r="G307" i="5"/>
  <c r="G306" i="5"/>
  <c r="G305" i="5"/>
  <c r="H107" i="5"/>
  <c r="I107" i="5"/>
  <c r="I62" i="5"/>
  <c r="G77" i="5"/>
  <c r="G205" i="5"/>
  <c r="G206" i="5"/>
  <c r="I207" i="5"/>
  <c r="F62" i="5"/>
  <c r="F14" i="5"/>
  <c r="H206" i="5"/>
  <c r="H205" i="5"/>
  <c r="H307" i="5"/>
  <c r="H306" i="5"/>
  <c r="H305" i="5"/>
  <c r="H144" i="5"/>
  <c r="I142" i="5"/>
  <c r="I143" i="5"/>
  <c r="H203" i="5"/>
  <c r="H204" i="5"/>
  <c r="H143" i="5"/>
  <c r="H142" i="5"/>
  <c r="I205" i="5"/>
  <c r="I206" i="5"/>
  <c r="G203" i="5"/>
  <c r="G204" i="5"/>
  <c r="I204" i="5"/>
  <c r="I203" i="5"/>
  <c r="G174" i="5"/>
  <c r="F174" i="5"/>
  <c r="I174" i="5"/>
  <c r="F418" i="5"/>
  <c r="H174" i="5"/>
  <c r="I14" i="5"/>
  <c r="H14" i="5"/>
  <c r="G62" i="5"/>
  <c r="G14" i="5"/>
  <c r="G418" i="5"/>
  <c r="H129" i="5"/>
  <c r="I112" i="5"/>
  <c r="I111" i="5"/>
  <c r="H418" i="5"/>
  <c r="I418" i="5"/>
</calcChain>
</file>

<file path=xl/sharedStrings.xml><?xml version="1.0" encoding="utf-8"?>
<sst xmlns="http://schemas.openxmlformats.org/spreadsheetml/2006/main" count="1425" uniqueCount="404">
  <si>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</si>
  <si>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</si>
  <si>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</si>
  <si>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</si>
  <si>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</si>
  <si>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</si>
  <si>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</si>
  <si>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</si>
  <si>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</si>
  <si>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</si>
  <si>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</si>
  <si>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Реализация государственных полномочий в области архивного дела</t>
  </si>
  <si>
    <t>05</t>
  </si>
  <si>
    <t>08</t>
  </si>
  <si>
    <t>09</t>
  </si>
  <si>
    <t>07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</si>
  <si>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</si>
  <si>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</si>
  <si>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</si>
  <si>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</si>
  <si>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</si>
  <si>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</si>
  <si>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Распределение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</si>
  <si>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</si>
  <si>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</si>
  <si>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</si>
  <si>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</si>
  <si>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</si>
  <si>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</si>
  <si>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</si>
  <si>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</si>
  <si>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</si>
  <si>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10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</si>
  <si>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</si>
  <si>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</si>
  <si>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</si>
  <si>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</si>
  <si>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</si>
  <si>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</si>
  <si>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</si>
  <si>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</si>
  <si>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</si>
  <si>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</si>
  <si>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</si>
  <si>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</si>
  <si>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</si>
  <si>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</si>
  <si>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</si>
  <si>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</si>
  <si>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Функционирование исполнительных органов местных администраций</t>
  </si>
  <si>
    <t>14</t>
  </si>
  <si>
    <t>100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</si>
  <si>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</si>
  <si>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</si>
  <si>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</si>
  <si>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</si>
  <si>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 xml:space="preserve">Кинематография </t>
  </si>
  <si>
    <t>Судебная система</t>
  </si>
  <si>
    <t>Дошкольное образование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</si>
  <si>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</si>
  <si>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дошкольного образовательных организаций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</si>
  <si>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</si>
  <si>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</si>
  <si>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</si>
  <si>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</si>
  <si>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</si>
  <si>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</si>
  <si>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</si>
  <si>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</si>
  <si>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(муниципальным программам ЕМР и непрограммным направлениям деятельности),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</si>
  <si>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</si>
  <si>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</si>
  <si>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</si>
  <si>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</si>
  <si>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</si>
  <si>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</si>
  <si>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мероприятия "Разработка и внедрение системы оценки качества образования"</t>
  </si>
  <si>
    <t xml:space="preserve">Комплектование книжных фондов библиотек муниципальных образований 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</si>
  <si>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</si>
  <si>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</si>
  <si>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</si>
  <si>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</si>
  <si>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</si>
  <si>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Мероприятия в области жилищного хозяйства</t>
  </si>
  <si>
    <t>Водное хозяйство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</si>
  <si>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</si>
  <si>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</si>
  <si>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</si>
  <si>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Таблица 2</t>
  </si>
  <si>
    <t xml:space="preserve">бюджетных ассигнований бюджета Елабужского муниципального района </t>
  </si>
  <si>
    <t xml:space="preserve">по разделам, подразделам, целевым статьям </t>
  </si>
  <si>
    <t>ПР</t>
  </si>
  <si>
    <t>ЦСР</t>
  </si>
  <si>
    <t>Сумма</t>
  </si>
  <si>
    <t xml:space="preserve">99 0 00 00000 </t>
  </si>
  <si>
    <t>99 0 00 02030</t>
  </si>
  <si>
    <t>99 0 00 00000</t>
  </si>
  <si>
    <t>99 0 00 02040</t>
  </si>
  <si>
    <t>02 2 08 25302</t>
  </si>
  <si>
    <t>24 1 01 25390</t>
  </si>
  <si>
    <t>99 0 00 51200</t>
  </si>
  <si>
    <t>99 0 00 07411</t>
  </si>
  <si>
    <t>03 5 03 25330</t>
  </si>
  <si>
    <t>99 0 00 02950</t>
  </si>
  <si>
    <t>99 0 00 25260</t>
  </si>
  <si>
    <t>99 0 00 25270</t>
  </si>
  <si>
    <t>99 0 00 25340</t>
  </si>
  <si>
    <t>99 0 00 25350</t>
  </si>
  <si>
    <t>99 0 00 25400</t>
  </si>
  <si>
    <t>99 0 00 25410</t>
  </si>
  <si>
    <t>99 2 00 03050</t>
  </si>
  <si>
    <t>99 0 00 51180</t>
  </si>
  <si>
    <t>99 0 00 02670</t>
  </si>
  <si>
    <t>06 0 01 10990</t>
  </si>
  <si>
    <t>14 2 09 25360</t>
  </si>
  <si>
    <t>99 0 00 90430</t>
  </si>
  <si>
    <t>04 5 01 96010</t>
  </si>
  <si>
    <t>99 0 00 76040</t>
  </si>
  <si>
    <t>99 0 00 25320</t>
  </si>
  <si>
    <t>99 0 00 44090</t>
  </si>
  <si>
    <t>09 0 01 19100</t>
  </si>
  <si>
    <t>02 0 00 00000</t>
  </si>
  <si>
    <t>02 1 01 00000</t>
  </si>
  <si>
    <t>02 1 01 25370</t>
  </si>
  <si>
    <t>05 0 01 10990</t>
  </si>
  <si>
    <t>11 0 01 10990</t>
  </si>
  <si>
    <t>02 2 08 00000</t>
  </si>
  <si>
    <t>02 2 08 25280</t>
  </si>
  <si>
    <t>02 3 01 00000</t>
  </si>
  <si>
    <t>02 3 01 42320</t>
  </si>
  <si>
    <t>02 3 01 42310</t>
  </si>
  <si>
    <t>02 2 08 25301</t>
  </si>
  <si>
    <t>02 5 01 00000</t>
  </si>
  <si>
    <t>02 5 01 43500</t>
  </si>
  <si>
    <t>02 5 02 45200</t>
  </si>
  <si>
    <t>07 0 01 10990</t>
  </si>
  <si>
    <t>08 0 00 00000</t>
  </si>
  <si>
    <t>08 3 01 00000</t>
  </si>
  <si>
    <t>08 3 01 44010</t>
  </si>
  <si>
    <t>08 3 01 44090</t>
  </si>
  <si>
    <t>08 4 01 44091</t>
  </si>
  <si>
    <t>08 5 01 00000</t>
  </si>
  <si>
    <t>08 5 01 44090</t>
  </si>
  <si>
    <t>01 1 02 02110</t>
  </si>
  <si>
    <t>03 2 01 49100</t>
  </si>
  <si>
    <t>03 5 01 13200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</si>
  <si>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</si>
  <si>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</si>
  <si>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</si>
  <si>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</si>
  <si>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</si>
  <si>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</si>
  <si>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</si>
  <si>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</si>
  <si>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</si>
  <si>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</si>
  <si>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</si>
  <si>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</si>
  <si>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МУНИЦИПАЛЬНЫХ ОБРАЗОВАНИЙ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</si>
  <si>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</si>
  <si>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</si>
  <si>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Физическая культура</t>
  </si>
  <si>
    <t>99 0 00 59300</t>
  </si>
  <si>
    <t>Д100003650</t>
  </si>
  <si>
    <t xml:space="preserve"> группам видов расходов классификации расходов бюджетов </t>
  </si>
  <si>
    <t>Реализация государственных полномочий РТ в области образования</t>
  </si>
  <si>
    <t>Реализация государственных полномочий РТ в области государственной молодежной политики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</si>
  <si>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</si>
  <si>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Реализация государственных полномочий РТ в области опеки и попечительства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</si>
  <si>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</si>
  <si>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Реализация государственных полномочий РТ по образованию и организации деятельности административных комиссий
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</si>
  <si>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</si>
  <si>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 распоряжению земельными участками, государственная собственность на которые не разграничена</t>
  </si>
  <si>
    <t>Реализация государственных полномочий по государственной регистрации актов гражданского состояния</t>
  </si>
  <si>
    <t>Сельское хозяйство и рыболовство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</si>
  <si>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</si>
  <si>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</si>
  <si>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</si>
  <si>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</si>
  <si>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Молодежная политика 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</si>
  <si>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</si>
  <si>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</si>
  <si>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99 0 00 80060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</si>
  <si>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</si>
  <si>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</si>
  <si>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</si>
  <si>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Доплаты к пенсиям, дополнительное пенсионное обеспечение</t>
  </si>
  <si>
    <t xml:space="preserve"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
</t>
  </si>
  <si>
    <t>13 4 01 05370</t>
  </si>
  <si>
    <t>Обязательное страхование муниципальных служащих</t>
  </si>
  <si>
    <t>99 0 00 92410</t>
  </si>
  <si>
    <t>99 0 00 S0040</t>
  </si>
  <si>
    <t>Развитие дошкольного образовательных организаций источником софинансирования которых являются субсидии на образование</t>
  </si>
  <si>
    <t>02 3 01 S0050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</si>
  <si>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</si>
  <si>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</si>
  <si>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</si>
  <si>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 xml:space="preserve">Функционирование высшего должностного лица муниципального образования </t>
  </si>
  <si>
    <t>99 0 00 20050</t>
  </si>
  <si>
    <t>Обеспечение безопасности на водных объектах</t>
  </si>
  <si>
    <t>Другие вопросы в области культуры, кинематографии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</si>
  <si>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</si>
  <si>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</si>
  <si>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02 2 08 53031</t>
  </si>
  <si>
    <t>02 2 09 L3040</t>
  </si>
  <si>
    <t>03 5 03 23120</t>
  </si>
  <si>
    <t>03 5 03 23110</t>
  </si>
  <si>
    <t>03 5 03 23130</t>
  </si>
  <si>
    <t>Государственная программа "Социальная поддержка граждан Республики Татарстан"</t>
  </si>
  <si>
    <t>Подпрограмма "Социальные выплаты"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</si>
  <si>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</si>
  <si>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</si>
  <si>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03 0 00 00000</t>
  </si>
  <si>
    <t>03 1 00 00000</t>
  </si>
  <si>
    <t>03 1 02 00000</t>
  </si>
  <si>
    <t>03 1 02 25510</t>
  </si>
  <si>
    <t>99 0 00 25240</t>
  </si>
  <si>
    <t>Подпрограмма "Развитие общего образования"</t>
  </si>
  <si>
    <t>02 2 00 00000</t>
  </si>
  <si>
    <t>19 0 00 00000</t>
  </si>
  <si>
    <t>Основное мероприятие "Развитие малого и  и среднего предпринимательства"</t>
  </si>
  <si>
    <t>19 0 01 00000</t>
  </si>
  <si>
    <t>Мероприятия по государственной поддержке малого и среднего предпринимательства в ЕМР</t>
  </si>
  <si>
    <t>19 0 01 02040</t>
  </si>
  <si>
    <t>Государственная программа «Развитие юстиции в Республике Татарстан»</t>
  </si>
  <si>
    <t>24 0 00 00000</t>
  </si>
  <si>
    <t>Подпрограмма «Реализация государственной политики в сфере юстиции в Республике Татарстан»</t>
  </si>
  <si>
    <t>24 1 00 00000</t>
  </si>
  <si>
    <t>Основное мероприятие «Осуществление политики в сфере юстиции в пределах полномочий Республики Татарстан»</t>
  </si>
  <si>
    <t>24 1 01 00000</t>
  </si>
  <si>
    <t>03 5 03 00000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</si>
  <si>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</si>
  <si>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</si>
  <si>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03 5 00 00000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</si>
  <si>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</si>
  <si>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17 0 00 00000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</si>
  <si>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</si>
  <si>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17 0 01 00000</t>
  </si>
  <si>
    <t>Организация проведения диспансеризации муниципальных служащих</t>
  </si>
  <si>
    <t>17 0 01 97080</t>
  </si>
  <si>
    <t>20 0 00 00000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</si>
  <si>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</si>
  <si>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20 0 01 00000</t>
  </si>
  <si>
    <t>Проведение социологических исследований по противодействию коррупции</t>
  </si>
  <si>
    <t>20 0 01 12043</t>
  </si>
  <si>
    <t>99 0 00 44020</t>
  </si>
  <si>
    <t>06 0 00 00000</t>
  </si>
  <si>
    <t>Основное мероприятие «Совершенствование деятельности по профилактике правонарушений и преступлений»</t>
  </si>
  <si>
    <t>06 0 01 00000</t>
  </si>
  <si>
    <t>Реализация программных мероприятий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</si>
  <si>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</si>
  <si>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</si>
  <si>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</si>
  <si>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</si>
  <si>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Основное мероприятие «Предупреждение болезней животных и защита населения от болезней, общих для человека и животных»</t>
  </si>
  <si>
    <t>14 2 09 00000</t>
  </si>
  <si>
    <t>Государственная программа «Обеспечение качественным
жильем и услугами жилищнокоммунального хозяйства
населения Республики Татарстан»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</si>
  <si>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</si>
  <si>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</si>
  <si>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04 5 00 00000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</si>
  <si>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</si>
  <si>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04 5 01 00000</t>
  </si>
  <si>
    <t>09 0 00 00000</t>
  </si>
  <si>
    <t>Основное мероприятие «Обеспечение охраны окружающей среды»</t>
  </si>
  <si>
    <t>09 0 01 00000</t>
  </si>
  <si>
    <t>Мероприятия по регулированию качества окружающей среды</t>
  </si>
  <si>
    <t>02 1 00 00000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</si>
  <si>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</si>
  <si>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02 1 02 00000</t>
  </si>
  <si>
    <t>02 1 02 42000</t>
  </si>
  <si>
    <t>02 1 02 S0050</t>
  </si>
  <si>
    <t>05 0 00 00000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</si>
  <si>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</si>
  <si>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05 0 01 00000</t>
  </si>
  <si>
    <t>11 0 00 00000</t>
  </si>
  <si>
    <t>Основное мероприятие "Проведение мероприятий по противопожарной безопасности"</t>
  </si>
  <si>
    <t>11 0 01 00000</t>
  </si>
  <si>
    <t>16 0 00 00000</t>
  </si>
  <si>
    <t>Основное мероприятие " Обеспечение сбалансированного питания"</t>
  </si>
  <si>
    <t>16 0 02 00000</t>
  </si>
  <si>
    <t>16 0 02 25510</t>
  </si>
  <si>
    <t>02 2 01 00000</t>
  </si>
  <si>
    <t>02 2 01 42100</t>
  </si>
  <si>
    <t>02 2 01 S0050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</si>
  <si>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</si>
  <si>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</si>
  <si>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t>Подпрограмма «Развитие дополнительного образования"</t>
  </si>
  <si>
    <t>02 3 00 00000</t>
  </si>
  <si>
    <t>Подпрограмма "Проведение мероприятий"</t>
  </si>
  <si>
    <t>Основное мероприятие "Проведение мероприятий в области молодежной политики"</t>
  </si>
  <si>
    <t>Проведение мероприятий для детей и молодежи</t>
  </si>
  <si>
    <t>Основное мероприятие " Функционирование пришкольных лагерей"</t>
  </si>
  <si>
    <t>16 0 01 00000</t>
  </si>
  <si>
    <t>16 0 01 25510</t>
  </si>
  <si>
    <t>18 0 00 00000</t>
  </si>
  <si>
    <t>Основное мероприятие "Развитие межрегионального и межнационального культурного сотрудничества"</t>
  </si>
  <si>
    <t>18 0 01 00000</t>
  </si>
  <si>
    <t>18 0 01 44100</t>
  </si>
  <si>
    <t>38 0 00 00000</t>
  </si>
  <si>
    <t>Подпрограмма «Организация отдыха детей и молодежи»</t>
  </si>
  <si>
    <t>38 1 00 00000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</si>
  <si>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</si>
  <si>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38 1 01 00000</t>
  </si>
  <si>
    <t>38 1 01 22320</t>
  </si>
  <si>
    <t>Подпрограмма "Развитие системы оценки качества образования"</t>
  </si>
  <si>
    <t>02 5 00 00000</t>
  </si>
  <si>
    <t>Развитие организаций, осуществляющих обеспечение образовательной деятельности, оценку качества образования</t>
  </si>
  <si>
    <t>Основное мероприятие "Осуществление деятельности централизованной бухгалтерии"</t>
  </si>
  <si>
    <t>02 5 02 00000</t>
  </si>
  <si>
    <t>07 0 00 00000</t>
  </si>
  <si>
    <t>Основное мероприятие «Профилактика терроризма и экстремизма»</t>
  </si>
  <si>
    <t>07 0 01 00000</t>
  </si>
  <si>
    <t>Подпрограмма "Развитие библиотечного дела"</t>
  </si>
  <si>
    <t>08 3 00 00000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</si>
  <si>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</si>
  <si>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</si>
  <si>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08 4 00 00000</t>
  </si>
  <si>
    <t>Основное мероприятие "Развитие  деятельности клубов и культурно-досуговых центров "</t>
  </si>
  <si>
    <t>08 4 01 00000</t>
  </si>
  <si>
    <t>Подпрограмма "Мероприятия в области культуры"</t>
  </si>
  <si>
    <t>08 6 00 00000</t>
  </si>
  <si>
    <t>Основное мероприятие "Проведение культурно - массовых мероприятий"</t>
  </si>
  <si>
    <t>08 6 01 00000</t>
  </si>
  <si>
    <t>08 6 01 44100</t>
  </si>
  <si>
    <t>Подпрограмма "Сохранение и развитие кинематографии"</t>
  </si>
  <si>
    <t>08 5 00 00000</t>
  </si>
  <si>
    <t>Основное мероприятие "Развитие кинематографии"</t>
  </si>
  <si>
    <t>Государственная программа "Развитие здравоохранения Республики Татарстан"</t>
  </si>
  <si>
    <t>01 0 00 00000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</si>
  <si>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</si>
  <si>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01 1 00 00000</t>
  </si>
  <si>
    <t>Основное мероприятие "Профилактика инфекционных заболеваний, включая иммунопрофилактику"</t>
  </si>
  <si>
    <t>01 1 02 00000</t>
  </si>
  <si>
    <t>Подпрограмма «Повышение качества жизни граждан пожилого возраста»</t>
  </si>
  <si>
    <t>03 2 00 00000</t>
  </si>
  <si>
    <t>Основное мероприятие «Реализация мер по укреплению социальной защищенности граждан пожилого возраста»</t>
  </si>
  <si>
    <t>03 2 01 00000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</si>
  <si>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</si>
  <si>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</si>
  <si>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
электрического транспорта, в том числе метро»</t>
  </si>
  <si>
    <t>13 4 00 00000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</si>
  <si>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</si>
  <si>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13 4 01 00000</t>
  </si>
  <si>
    <t>Основное мероприятие «Развитие системы мер социальной поддержки семей»</t>
  </si>
  <si>
    <t>03 5 01 00000</t>
  </si>
  <si>
    <t>99 0 00 45310</t>
  </si>
  <si>
    <t>Подпрограмма "Развитие спорта"</t>
  </si>
  <si>
    <t>Основное мероприятие "Развитие учреждений спортивной подготовки"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</si>
  <si>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</si>
  <si>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</si>
  <si>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Выполнение других обязательств государства</t>
  </si>
  <si>
    <t>99 2 00 03000</t>
  </si>
  <si>
    <t>на плановый период 2023 и 2024 годов</t>
  </si>
  <si>
    <t xml:space="preserve">2023 год </t>
  </si>
  <si>
    <t>2024 год</t>
  </si>
  <si>
    <t>04 4 00 00000</t>
  </si>
  <si>
    <t>04 4 F3 00000</t>
  </si>
  <si>
    <t>04 4 F3 67483</t>
  </si>
  <si>
    <t>04 4 F3 67484</t>
  </si>
  <si>
    <t>37 0 00 00000</t>
  </si>
  <si>
    <t>Подпрограмма "Развитие физической культуры и массового спорта"</t>
  </si>
  <si>
    <t>37 1 00 00000</t>
  </si>
  <si>
    <t>37 1 01 00000</t>
  </si>
  <si>
    <t>37 1 01 12870</t>
  </si>
  <si>
    <t>37 2 00 00000</t>
  </si>
  <si>
    <t>37 2 01 00000</t>
  </si>
  <si>
    <t>Обеспечение деятельности спортивных объектов</t>
  </si>
  <si>
    <t>37 2 01 48210</t>
  </si>
  <si>
    <t>Обеспечение деятельности спортивных школ</t>
  </si>
  <si>
    <t>37 2 01 48220</t>
  </si>
  <si>
    <t>38 1 01 S2320</t>
  </si>
  <si>
    <t>Софинансируемые расходы по обеспечению организаци отдыха детей в каникулярное время за счет средств субсидии из бюджета Республики Татарстан</t>
  </si>
  <si>
    <t>Софинансируемые расходы по обеспечению организаци отдыха детей в каникулярное время за счет средств, предусмотренных в бюджетах муниципальных районов</t>
  </si>
  <si>
    <t>38 3 01 43190</t>
  </si>
  <si>
    <t>38 3 01 43100</t>
  </si>
  <si>
    <t>38 3 01 00000</t>
  </si>
  <si>
    <t>38 3 00 00000</t>
  </si>
  <si>
    <t>Муниципальная программа "Развитие образования в Елабужском муниципальном районе на 2017-2024 годы"</t>
  </si>
  <si>
    <t>Муниципальная программа "Развитие субъектов малого и среднего предпринимательства Елабужского муниципального района на 2016-2024 годы"</t>
  </si>
  <si>
    <t>Муниципальная программа "Улучшение условий и охраны труда работников органов местного самоуправления ЕМР на 2017-2024 годы"</t>
  </si>
  <si>
    <t>Муниципальная программа "Реализация антикоррупционной политики в ЕМР на 2015-2024 годы"</t>
  </si>
  <si>
    <t>Муниципальная программа "Профилактика правонарушений и охраны общественного порядка в ЕМР на 2017-2024 годы" (Общественные пункты общественного порядка)</t>
  </si>
  <si>
    <t>Подпрограмма «Реализация мероприятий федерального проекта «Обеспечение устойчивого сокращения непригодного для проживания жилищного фонда»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</si>
  <si>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</si>
  <si>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Республиканской адресной программы по переселению граждан из аварийного жилищного фонда на 2019 - 2023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Фонда содействия реформированию жилищно-коммунального хозяйства</t>
  </si>
  <si>
    <t>Обеспечение мероприятий Республиканской адресной программы по переселению граждан из аварийного жилищного фонда на 2019 - 2023 годы в рамках реализации федерального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бюджета Республики Татарстан</t>
  </si>
  <si>
    <t>Муниципальная программа "Охрана окружающей среды на 2017-2024 годы"</t>
  </si>
  <si>
    <t>Муниципальная программа "Сохранение, изучение и развитие государственных языков РТ и других языков в ЕМР на 2014-2024 годы"</t>
  </si>
  <si>
    <t>Муниципальная программа "Пожарная безопасность на 2017-2024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</si>
  <si>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2017-2024 годы"</t>
  </si>
  <si>
    <t>Муниципальная программа "Профилактика правонарушений и охраны общественного порядка в ЕМР на 2017-2024 годы" (МБУ "Центр "Форпост" ЕМР)</t>
  </si>
  <si>
    <t>Муниципальная программа "Развитие  молодежной политики в Елабужском муниципальном районе на 2021-2024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</si>
  <si>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2018-2024 годы"</t>
  </si>
  <si>
    <t>Муниципальная программа "Развитие культуры в Елабужском муниципальном районе на 2017-2024 годы"</t>
  </si>
  <si>
    <t>Муниципальная программа "Реализация государственной национальной политики в ЕМР на 2017-2024 годы"</t>
  </si>
  <si>
    <t>Муниципальная программа "Развитие физической культуры и спорта в Елабужском муниципальном районе на 2017-2024 годы"</t>
  </si>
  <si>
    <t>Всего расходов (без условно утвержденных расходов)</t>
  </si>
  <si>
    <t>На осуществление государственных полномочий РТ по организации и осуществлению мероприятий по оказанию помощи лицам, находящимся в состоянии алкогольного опьянения, наркотического или иного токсического опьянения</t>
  </si>
  <si>
    <t>На осуществление государственных полномочий РТ по расчету и предоставлению субвенций бюджетам поселений, входящих в состав муниципального района, для осуществления полномочий РФ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</si>
  <si>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Субсидий бюджетам муниципальных районов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</si>
  <si>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Субвенций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</si>
  <si>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2023 год</t>
  </si>
  <si>
    <t>99 0 00 05370</t>
  </si>
  <si>
    <t>Обеспечение равной доступности услуг общественного транспорта на территории РТ для отдельных категорий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</si>
</sst>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.0"/>
    <numFmt numFmtId="183" formatCode="000"/>
    <numFmt numFmtId="184" formatCode="00"/>
  </numFmts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</font>
    <font>
      <b/>
      <sz val="14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Fill="1"/>
    <xf numFmtId="0" fontId="1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>
      <alignment horizontal="justify" vertical="center" wrapText="1"/>
    </xf>
    <xf numFmtId="0" fontId="6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justify" vertical="center" wrapText="1"/>
    </xf>
    <xf numFmtId="182" fontId="1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justify" vertical="center" wrapText="1"/>
    </xf>
    <xf numFmtId="0" fontId="15" fillId="2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/>
    <xf numFmtId="0" fontId="15" fillId="2" borderId="0" xfId="0" applyFont="1" applyFill="1" applyBorder="1" applyAlignment="1">
      <alignment horizontal="left" wrapText="1"/>
    </xf>
    <xf numFmtId="0" fontId="0" fillId="2" borderId="0" xfId="0" applyFill="1"/>
    <xf numFmtId="183" fontId="0" fillId="2" borderId="0" xfId="0" applyNumberFormat="1" applyFill="1"/>
    <xf numFmtId="182" fontId="0" fillId="2" borderId="0" xfId="0" applyNumberForma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182" fontId="2" fillId="2" borderId="0" xfId="0" applyNumberFormat="1" applyFont="1" applyFill="1" applyBorder="1" applyAlignment="1"/>
    <xf numFmtId="182" fontId="3" fillId="2" borderId="0" xfId="0" applyNumberFormat="1" applyFont="1" applyFill="1" applyAlignment="1">
      <alignment horizontal="center"/>
    </xf>
    <xf numFmtId="18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justify" wrapText="1"/>
    </xf>
    <xf numFmtId="0" fontId="1" fillId="2" borderId="0" xfId="0" applyFont="1" applyFill="1" applyBorder="1" applyAlignment="1">
      <alignment horizontal="justify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justify" wrapText="1"/>
    </xf>
    <xf numFmtId="0" fontId="15" fillId="2" borderId="0" xfId="0" applyNumberFormat="1" applyFont="1" applyFill="1" applyBorder="1" applyAlignment="1">
      <alignment horizontal="justify" wrapText="1"/>
    </xf>
    <xf numFmtId="0" fontId="1" fillId="2" borderId="0" xfId="0" applyFont="1" applyFill="1" applyAlignment="1"/>
    <xf numFmtId="0" fontId="1" fillId="2" borderId="0" xfId="0" applyNumberFormat="1" applyFont="1" applyFill="1" applyBorder="1" applyAlignment="1">
      <alignment horizontal="justify" vertical="top" wrapText="1"/>
    </xf>
    <xf numFmtId="4" fontId="1" fillId="2" borderId="0" xfId="0" applyNumberFormat="1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justify" wrapText="1"/>
    </xf>
    <xf numFmtId="0" fontId="17" fillId="2" borderId="0" xfId="0" applyFont="1" applyFill="1" applyBorder="1"/>
    <xf numFmtId="182" fontId="0" fillId="0" borderId="0" xfId="0" applyNumberFormat="1" applyFill="1"/>
    <xf numFmtId="182" fontId="9" fillId="2" borderId="0" xfId="0" applyNumberFormat="1" applyFont="1" applyFill="1" applyBorder="1" applyAlignment="1">
      <alignment horizontal="right"/>
    </xf>
    <xf numFmtId="182" fontId="5" fillId="2" borderId="0" xfId="0" applyNumberFormat="1" applyFont="1" applyFill="1" applyBorder="1" applyAlignment="1">
      <alignment horizontal="right" wrapText="1"/>
    </xf>
    <xf numFmtId="182" fontId="5" fillId="2" borderId="0" xfId="0" applyNumberFormat="1" applyFont="1" applyFill="1"/>
    <xf numFmtId="182" fontId="10" fillId="2" borderId="0" xfId="0" applyNumberFormat="1" applyFont="1" applyFill="1" applyBorder="1" applyAlignment="1">
      <alignment horizontal="right" wrapText="1"/>
    </xf>
    <xf numFmtId="182" fontId="5" fillId="2" borderId="0" xfId="0" applyNumberFormat="1" applyFont="1" applyFill="1" applyBorder="1" applyAlignment="1">
      <alignment horizontal="right"/>
    </xf>
    <xf numFmtId="182" fontId="9" fillId="2" borderId="0" xfId="0" applyNumberFormat="1" applyFont="1" applyFill="1" applyBorder="1" applyAlignment="1">
      <alignment horizontal="right" wrapText="1"/>
    </xf>
    <xf numFmtId="182" fontId="11" fillId="2" borderId="0" xfId="0" applyNumberFormat="1" applyFont="1" applyFill="1" applyBorder="1"/>
    <xf numFmtId="182" fontId="5" fillId="2" borderId="0" xfId="0" applyNumberFormat="1" applyFont="1" applyFill="1" applyBorder="1"/>
    <xf numFmtId="182" fontId="18" fillId="2" borderId="0" xfId="0" applyNumberFormat="1" applyFont="1" applyFill="1"/>
    <xf numFmtId="182" fontId="18" fillId="2" borderId="0" xfId="0" applyNumberFormat="1" applyFont="1" applyFill="1" applyBorder="1" applyAlignment="1">
      <alignment horizontal="right" wrapText="1"/>
    </xf>
    <xf numFmtId="4" fontId="11" fillId="2" borderId="0" xfId="0" applyNumberFormat="1" applyFont="1" applyFill="1"/>
    <xf numFmtId="0" fontId="11" fillId="2" borderId="0" xfId="0" applyFont="1" applyFill="1"/>
    <xf numFmtId="2" fontId="11" fillId="2" borderId="0" xfId="0" applyNumberFormat="1" applyFont="1" applyFill="1"/>
    <xf numFmtId="182" fontId="11" fillId="2" borderId="0" xfId="0" applyNumberFormat="1" applyFont="1" applyFill="1"/>
    <xf numFmtId="184" fontId="9" fillId="2" borderId="0" xfId="0" applyNumberFormat="1" applyFont="1" applyFill="1" applyBorder="1" applyAlignment="1">
      <alignment horizontal="center" wrapText="1"/>
    </xf>
    <xf numFmtId="18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83" fontId="12" fillId="2" borderId="0" xfId="0" applyNumberFormat="1" applyFont="1" applyFill="1" applyBorder="1" applyAlignment="1">
      <alignment horizontal="center"/>
    </xf>
    <xf numFmtId="184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83" fontId="5" fillId="2" borderId="0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49" fontId="10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183" fontId="9" fillId="2" borderId="0" xfId="0" applyNumberFormat="1" applyFont="1" applyFill="1" applyBorder="1" applyAlignment="1">
      <alignment horizontal="center" wrapText="1"/>
    </xf>
    <xf numFmtId="184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3" fillId="2" borderId="0" xfId="0" applyFont="1" applyFill="1"/>
    <xf numFmtId="0" fontId="5" fillId="2" borderId="0" xfId="0" applyFont="1" applyFill="1" applyBorder="1" applyAlignment="1">
      <alignment horizontal="center"/>
    </xf>
    <xf numFmtId="18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83" fontId="9" fillId="2" borderId="0" xfId="0" applyNumberFormat="1" applyFont="1" applyFill="1" applyBorder="1" applyAlignment="1">
      <alignment horizontal="center"/>
    </xf>
    <xf numFmtId="183" fontId="5" fillId="2" borderId="0" xfId="0" applyNumberFormat="1" applyFont="1" applyFill="1" applyBorder="1" applyAlignment="1">
      <alignment horizontal="center"/>
    </xf>
    <xf numFmtId="183" fontId="11" fillId="2" borderId="0" xfId="0" applyNumberFormat="1" applyFont="1" applyFill="1"/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4" fillId="2" borderId="0" xfId="0" applyFont="1" applyFill="1" applyBorder="1" applyAlignment="1">
      <alignment horizontal="justify" vertical="center"/>
    </xf>
    <xf numFmtId="182" fontId="1" fillId="2" borderId="0" xfId="0" applyNumberFormat="1" applyFont="1" applyFill="1" applyBorder="1" applyAlignment="1">
      <alignment horizontal="right" wrapText="1"/>
    </xf>
    <xf numFmtId="49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182" fontId="9" fillId="2" borderId="0" xfId="0" applyNumberFormat="1" applyFont="1" applyFill="1" applyBorder="1" applyAlignment="1">
      <alignment horizontal="right" wrapText="1" indent="1"/>
    </xf>
    <xf numFmtId="18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83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E427"/>
  <sheetViews>
    <sheetView tabSelected="1" view="pageBreakPreview" zoomScale="70" zoomScaleNormal="80" zoomScaleSheetLayoutView="70" workbookViewId="0">
      <selection activeCell="F404" sqref="F1:G65536"/>
    </sheetView>
  </sheetViews>
  <sheetFormatPr defaultRowHeight="12.9" x14ac:dyDescent="0.2"/>
  <cols>
    <col min="1" max="1" width="63.75" style="2" customWidth="1"/>
    <col min="2" max="3" width="7.25" style="18" customWidth="1"/>
    <col min="4" max="4" width="18.25" style="18" customWidth="1"/>
    <col min="5" max="5" width="5.75" style="19" bestFit="1" customWidth="1"/>
    <col min="6" max="7" width="19.875" style="20" hidden="1" customWidth="1"/>
    <col min="8" max="8" width="16.625" style="18" customWidth="1"/>
    <col min="9" max="9" width="14.75" style="18" customWidth="1"/>
    <col min="10" max="10" width="37.375" customWidth="1"/>
  </cols>
  <sheetData>
    <row r="2" spans="1:166" ht="15.65" x14ac:dyDescent="0.25">
      <c r="G2" s="21" t="s">
        <v>88</v>
      </c>
    </row>
    <row r="4" spans="1:166" ht="18" customHeight="1" x14ac:dyDescent="0.2">
      <c r="A4" s="89" t="s">
        <v>22</v>
      </c>
      <c r="B4" s="89"/>
      <c r="C4" s="89"/>
      <c r="D4" s="89"/>
      <c r="E4" s="89"/>
      <c r="F4" s="89"/>
      <c r="G4" s="89"/>
      <c r="H4" s="89"/>
      <c r="I4" s="89"/>
    </row>
    <row r="5" spans="1:166" ht="18" customHeight="1" x14ac:dyDescent="0.3">
      <c r="A5" s="88" t="s">
        <v>89</v>
      </c>
      <c r="B5" s="88"/>
      <c r="C5" s="88"/>
      <c r="D5" s="88"/>
      <c r="E5" s="88"/>
      <c r="F5" s="88"/>
      <c r="G5" s="88"/>
      <c r="H5" s="88"/>
      <c r="I5" s="88"/>
    </row>
    <row r="6" spans="1:166" ht="18" customHeight="1" x14ac:dyDescent="0.3">
      <c r="A6" s="88" t="s">
        <v>90</v>
      </c>
      <c r="B6" s="88"/>
      <c r="C6" s="88"/>
      <c r="D6" s="88"/>
      <c r="E6" s="88"/>
      <c r="F6" s="88"/>
      <c r="G6" s="88"/>
      <c r="H6" s="88"/>
      <c r="I6" s="88"/>
    </row>
    <row r="7" spans="1:166" ht="16.5" customHeight="1" x14ac:dyDescent="0.3">
      <c r="A7" s="88" t="s">
        <v>69</v>
      </c>
      <c r="B7" s="88"/>
      <c r="C7" s="88"/>
      <c r="D7" s="88"/>
      <c r="E7" s="88"/>
      <c r="F7" s="88"/>
      <c r="G7" s="88"/>
      <c r="H7" s="88"/>
      <c r="I7" s="88"/>
    </row>
    <row r="8" spans="1:166" ht="16.5" customHeight="1" x14ac:dyDescent="0.3">
      <c r="A8" s="88" t="s">
        <v>164</v>
      </c>
      <c r="B8" s="88"/>
      <c r="C8" s="88"/>
      <c r="D8" s="88"/>
      <c r="E8" s="88"/>
      <c r="F8" s="88"/>
      <c r="G8" s="88"/>
      <c r="H8" s="88"/>
      <c r="I8" s="88"/>
    </row>
    <row r="9" spans="1:166" ht="16.5" customHeight="1" x14ac:dyDescent="0.3">
      <c r="A9" s="88" t="s">
        <v>352</v>
      </c>
      <c r="B9" s="88"/>
      <c r="C9" s="88"/>
      <c r="D9" s="88"/>
      <c r="E9" s="88"/>
      <c r="F9" s="88"/>
      <c r="G9" s="88"/>
      <c r="H9" s="88"/>
      <c r="I9" s="88"/>
    </row>
    <row r="10" spans="1:166" ht="16.5" customHeight="1" x14ac:dyDescent="0.3">
      <c r="A10" s="3"/>
      <c r="B10" s="22"/>
      <c r="C10" s="22"/>
      <c r="D10" s="22"/>
      <c r="E10" s="22"/>
      <c r="F10" s="25"/>
      <c r="G10" s="22"/>
      <c r="H10" s="20"/>
      <c r="I10" s="20"/>
    </row>
    <row r="11" spans="1:166" ht="14.95" customHeight="1" x14ac:dyDescent="0.25">
      <c r="A11" s="5"/>
      <c r="B11" s="23"/>
      <c r="C11" s="23"/>
      <c r="D11" s="23"/>
      <c r="E11" s="23"/>
      <c r="F11" s="24"/>
      <c r="G11" s="13" t="s">
        <v>0</v>
      </c>
    </row>
    <row r="12" spans="1:166" ht="21.75" customHeight="1" x14ac:dyDescent="0.2">
      <c r="A12" s="85" t="s">
        <v>1</v>
      </c>
      <c r="B12" s="86" t="s">
        <v>2</v>
      </c>
      <c r="C12" s="86" t="s">
        <v>91</v>
      </c>
      <c r="D12" s="85" t="s">
        <v>92</v>
      </c>
      <c r="E12" s="87" t="s">
        <v>3</v>
      </c>
      <c r="F12" s="84" t="s">
        <v>93</v>
      </c>
      <c r="G12" s="84"/>
      <c r="H12" s="84" t="s">
        <v>93</v>
      </c>
      <c r="I12" s="84"/>
    </row>
    <row r="13" spans="1:166" ht="15.65" x14ac:dyDescent="0.2">
      <c r="A13" s="85"/>
      <c r="B13" s="86"/>
      <c r="C13" s="86"/>
      <c r="D13" s="85"/>
      <c r="E13" s="87"/>
      <c r="F13" s="26" t="s">
        <v>401</v>
      </c>
      <c r="G13" s="26" t="s">
        <v>354</v>
      </c>
      <c r="H13" s="27" t="s">
        <v>353</v>
      </c>
      <c r="I13" s="27" t="s">
        <v>354</v>
      </c>
    </row>
    <row r="14" spans="1:166" ht="18.350000000000001" x14ac:dyDescent="0.3">
      <c r="A14" s="14" t="s">
        <v>146</v>
      </c>
      <c r="B14" s="53">
        <v>1</v>
      </c>
      <c r="C14" s="54"/>
      <c r="D14" s="55"/>
      <c r="E14" s="56"/>
      <c r="F14" s="39">
        <f>F15+F19+F25+F48+F52+F58+F62</f>
        <v>91291.930000000008</v>
      </c>
      <c r="G14" s="39">
        <f>G15+G19+G25+G48+G52+G58+G62</f>
        <v>91467.23</v>
      </c>
      <c r="H14" s="39">
        <f>H15+H19+H25+H48+H52+H58+H62</f>
        <v>89288.43</v>
      </c>
      <c r="I14" s="39">
        <f>I15+I19+I25+I48+I52+I58+I62</f>
        <v>87457.53</v>
      </c>
    </row>
    <row r="15" spans="1:166" ht="31.25" x14ac:dyDescent="0.3">
      <c r="A15" s="9" t="s">
        <v>197</v>
      </c>
      <c r="B15" s="57">
        <v>1</v>
      </c>
      <c r="C15" s="57">
        <v>2</v>
      </c>
      <c r="D15" s="58"/>
      <c r="E15" s="59"/>
      <c r="F15" s="40">
        <f>F16</f>
        <v>1896.3</v>
      </c>
      <c r="G15" s="40">
        <f>G16</f>
        <v>1896.3</v>
      </c>
      <c r="H15" s="40">
        <f>H16</f>
        <v>1896.3</v>
      </c>
      <c r="I15" s="40">
        <f>I16</f>
        <v>1896.3</v>
      </c>
    </row>
    <row r="16" spans="1:166" ht="18.350000000000001" x14ac:dyDescent="0.3">
      <c r="A16" s="7" t="s">
        <v>72</v>
      </c>
      <c r="B16" s="58" t="s">
        <v>4</v>
      </c>
      <c r="C16" s="58" t="s">
        <v>5</v>
      </c>
      <c r="D16" s="58" t="s">
        <v>94</v>
      </c>
      <c r="E16" s="58"/>
      <c r="F16" s="40">
        <f>F18</f>
        <v>1896.3</v>
      </c>
      <c r="G16" s="40">
        <f>G18</f>
        <v>1896.3</v>
      </c>
      <c r="H16" s="40">
        <f>H18</f>
        <v>1896.3</v>
      </c>
      <c r="I16" s="40">
        <f>I18</f>
        <v>1896.3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1:9" ht="18.350000000000001" x14ac:dyDescent="0.3">
      <c r="A17" s="9" t="s">
        <v>6</v>
      </c>
      <c r="B17" s="57">
        <v>1</v>
      </c>
      <c r="C17" s="57">
        <v>2</v>
      </c>
      <c r="D17" s="60" t="s">
        <v>95</v>
      </c>
      <c r="E17" s="59"/>
      <c r="F17" s="40">
        <f>F18</f>
        <v>1896.3</v>
      </c>
      <c r="G17" s="40">
        <f>G18</f>
        <v>1896.3</v>
      </c>
      <c r="H17" s="40">
        <f>H18</f>
        <v>1896.3</v>
      </c>
      <c r="I17" s="40">
        <f>I18</f>
        <v>1896.3</v>
      </c>
    </row>
    <row r="18" spans="1:9" ht="62.5" x14ac:dyDescent="0.3">
      <c r="A18" s="7" t="s">
        <v>34</v>
      </c>
      <c r="B18" s="58" t="s">
        <v>4</v>
      </c>
      <c r="C18" s="58" t="s">
        <v>5</v>
      </c>
      <c r="D18" s="60" t="s">
        <v>95</v>
      </c>
      <c r="E18" s="58">
        <v>100</v>
      </c>
      <c r="F18" s="40">
        <v>1896.3</v>
      </c>
      <c r="G18" s="40">
        <v>1896.3</v>
      </c>
      <c r="H18" s="41">
        <f>F18</f>
        <v>1896.3</v>
      </c>
      <c r="I18" s="41">
        <f>G18</f>
        <v>1896.3</v>
      </c>
    </row>
    <row r="19" spans="1:9" ht="46.9" x14ac:dyDescent="0.3">
      <c r="A19" s="9" t="s">
        <v>17</v>
      </c>
      <c r="B19" s="57">
        <v>1</v>
      </c>
      <c r="C19" s="57">
        <v>3</v>
      </c>
      <c r="D19" s="60"/>
      <c r="E19" s="59"/>
      <c r="F19" s="40">
        <f>F20</f>
        <v>18008.900000000001</v>
      </c>
      <c r="G19" s="40">
        <f t="shared" ref="F19:I20" si="0">G20</f>
        <v>18093.400000000001</v>
      </c>
      <c r="H19" s="40">
        <f t="shared" si="0"/>
        <v>17511.300000000003</v>
      </c>
      <c r="I19" s="40">
        <f t="shared" si="0"/>
        <v>17094</v>
      </c>
    </row>
    <row r="20" spans="1:9" ht="18.350000000000001" x14ac:dyDescent="0.3">
      <c r="A20" s="7" t="s">
        <v>72</v>
      </c>
      <c r="B20" s="57">
        <v>1</v>
      </c>
      <c r="C20" s="57">
        <v>3</v>
      </c>
      <c r="D20" s="60" t="s">
        <v>96</v>
      </c>
      <c r="E20" s="59"/>
      <c r="F20" s="40">
        <f t="shared" si="0"/>
        <v>18008.900000000001</v>
      </c>
      <c r="G20" s="40">
        <f t="shared" si="0"/>
        <v>18093.400000000001</v>
      </c>
      <c r="H20" s="40">
        <f t="shared" si="0"/>
        <v>17511.300000000003</v>
      </c>
      <c r="I20" s="40">
        <f t="shared" si="0"/>
        <v>17094</v>
      </c>
    </row>
    <row r="21" spans="1:9" ht="18.350000000000001" x14ac:dyDescent="0.3">
      <c r="A21" s="9" t="s">
        <v>8</v>
      </c>
      <c r="B21" s="57">
        <v>1</v>
      </c>
      <c r="C21" s="57">
        <v>3</v>
      </c>
      <c r="D21" s="60" t="s">
        <v>97</v>
      </c>
      <c r="E21" s="59"/>
      <c r="F21" s="40">
        <f>F23+F22+F24</f>
        <v>18008.900000000001</v>
      </c>
      <c r="G21" s="40">
        <f>G23+G22+G24</f>
        <v>18093.400000000001</v>
      </c>
      <c r="H21" s="40">
        <f>H23+H22+H24</f>
        <v>17511.300000000003</v>
      </c>
      <c r="I21" s="40">
        <f>I23+I22+I24</f>
        <v>17094</v>
      </c>
    </row>
    <row r="22" spans="1:9" ht="62.5" x14ac:dyDescent="0.3">
      <c r="A22" s="8" t="s">
        <v>34</v>
      </c>
      <c r="B22" s="61" t="s">
        <v>4</v>
      </c>
      <c r="C22" s="61" t="s">
        <v>7</v>
      </c>
      <c r="D22" s="61" t="s">
        <v>97</v>
      </c>
      <c r="E22" s="61">
        <v>100</v>
      </c>
      <c r="F22" s="42">
        <v>10337.700000000001</v>
      </c>
      <c r="G22" s="42">
        <v>10337.700000000001</v>
      </c>
      <c r="H22" s="41">
        <f>F22</f>
        <v>10337.700000000001</v>
      </c>
      <c r="I22" s="41">
        <f>G22</f>
        <v>10337.700000000001</v>
      </c>
    </row>
    <row r="23" spans="1:9" ht="31.25" x14ac:dyDescent="0.3">
      <c r="A23" s="8" t="s">
        <v>86</v>
      </c>
      <c r="B23" s="61" t="s">
        <v>4</v>
      </c>
      <c r="C23" s="61" t="s">
        <v>7</v>
      </c>
      <c r="D23" s="61" t="s">
        <v>97</v>
      </c>
      <c r="E23" s="61">
        <v>200</v>
      </c>
      <c r="F23" s="42">
        <v>7394.3</v>
      </c>
      <c r="G23" s="42">
        <v>7478.8</v>
      </c>
      <c r="H23" s="41">
        <f>ROUND(F23*0.975-(H18+H22)*0.025,1)</f>
        <v>6903.6</v>
      </c>
      <c r="I23" s="41">
        <f>ROUND(G23*0.95-(I18+I22)*0.05,1)</f>
        <v>6493.2</v>
      </c>
    </row>
    <row r="24" spans="1:9" ht="18.350000000000001" x14ac:dyDescent="0.3">
      <c r="A24" s="8" t="s">
        <v>36</v>
      </c>
      <c r="B24" s="61" t="s">
        <v>4</v>
      </c>
      <c r="C24" s="61" t="s">
        <v>7</v>
      </c>
      <c r="D24" s="61" t="s">
        <v>97</v>
      </c>
      <c r="E24" s="61">
        <v>800</v>
      </c>
      <c r="F24" s="42">
        <v>276.89999999999998</v>
      </c>
      <c r="G24" s="42">
        <v>276.89999999999998</v>
      </c>
      <c r="H24" s="41">
        <f>ROUND(F24*0.975,1)</f>
        <v>270</v>
      </c>
      <c r="I24" s="41">
        <f>ROUND(G24*0.95,1)</f>
        <v>263.10000000000002</v>
      </c>
    </row>
    <row r="25" spans="1:9" ht="31.25" x14ac:dyDescent="0.3">
      <c r="A25" s="7" t="s">
        <v>49</v>
      </c>
      <c r="B25" s="58" t="s">
        <v>4</v>
      </c>
      <c r="C25" s="57">
        <v>4</v>
      </c>
      <c r="D25" s="58"/>
      <c r="E25" s="58"/>
      <c r="F25" s="40">
        <f>F29+F39+F41+F33</f>
        <v>25629.599999999999</v>
      </c>
      <c r="G25" s="40">
        <f>G29+G39+G41+G33</f>
        <v>25674.2</v>
      </c>
      <c r="H25" s="40">
        <f>H29+H39+H41+H33</f>
        <v>24892.1</v>
      </c>
      <c r="I25" s="40">
        <f>I29+I39+I41+I33</f>
        <v>24196.9</v>
      </c>
    </row>
    <row r="26" spans="1:9" ht="31.25" x14ac:dyDescent="0.3">
      <c r="A26" s="7" t="s">
        <v>377</v>
      </c>
      <c r="B26" s="58" t="s">
        <v>4</v>
      </c>
      <c r="C26" s="57">
        <v>4</v>
      </c>
      <c r="D26" s="58" t="s">
        <v>121</v>
      </c>
      <c r="E26" s="58"/>
      <c r="F26" s="40">
        <f>F27</f>
        <v>363.3</v>
      </c>
      <c r="G26" s="40">
        <f t="shared" ref="G26:I28" si="1">G27</f>
        <v>363.3</v>
      </c>
      <c r="H26" s="40">
        <f t="shared" si="1"/>
        <v>363.3</v>
      </c>
      <c r="I26" s="40">
        <f t="shared" si="1"/>
        <v>363.3</v>
      </c>
    </row>
    <row r="27" spans="1:9" ht="18.350000000000001" x14ac:dyDescent="0.3">
      <c r="A27" s="7" t="s">
        <v>217</v>
      </c>
      <c r="B27" s="58" t="s">
        <v>4</v>
      </c>
      <c r="C27" s="57">
        <v>4</v>
      </c>
      <c r="D27" s="58" t="s">
        <v>218</v>
      </c>
      <c r="E27" s="58"/>
      <c r="F27" s="40">
        <f>F28</f>
        <v>363.3</v>
      </c>
      <c r="G27" s="40">
        <f t="shared" si="1"/>
        <v>363.3</v>
      </c>
      <c r="H27" s="40">
        <f t="shared" si="1"/>
        <v>363.3</v>
      </c>
      <c r="I27" s="40">
        <f t="shared" si="1"/>
        <v>363.3</v>
      </c>
    </row>
    <row r="28" spans="1:9" ht="109.4" x14ac:dyDescent="0.3">
      <c r="A28" s="7" t="s">
        <v>75</v>
      </c>
      <c r="B28" s="58" t="s">
        <v>4</v>
      </c>
      <c r="C28" s="57">
        <v>4</v>
      </c>
      <c r="D28" s="58" t="s">
        <v>126</v>
      </c>
      <c r="E28" s="58"/>
      <c r="F28" s="40">
        <f>F29</f>
        <v>363.3</v>
      </c>
      <c r="G28" s="40">
        <f t="shared" si="1"/>
        <v>363.3</v>
      </c>
      <c r="H28" s="40">
        <f t="shared" si="1"/>
        <v>363.3</v>
      </c>
      <c r="I28" s="40">
        <f t="shared" si="1"/>
        <v>363.3</v>
      </c>
    </row>
    <row r="29" spans="1:9" ht="31.25" x14ac:dyDescent="0.3">
      <c r="A29" s="8" t="s">
        <v>165</v>
      </c>
      <c r="B29" s="61" t="s">
        <v>4</v>
      </c>
      <c r="C29" s="61" t="s">
        <v>29</v>
      </c>
      <c r="D29" s="62" t="s">
        <v>98</v>
      </c>
      <c r="E29" s="61"/>
      <c r="F29" s="42">
        <f>F30</f>
        <v>363.3</v>
      </c>
      <c r="G29" s="42">
        <f>G30</f>
        <v>363.3</v>
      </c>
      <c r="H29" s="42">
        <f>H30</f>
        <v>363.3</v>
      </c>
      <c r="I29" s="42">
        <f>I30</f>
        <v>363.3</v>
      </c>
    </row>
    <row r="30" spans="1:9" ht="62.5" x14ac:dyDescent="0.3">
      <c r="A30" s="8" t="s">
        <v>34</v>
      </c>
      <c r="B30" s="61" t="s">
        <v>4</v>
      </c>
      <c r="C30" s="61" t="s">
        <v>29</v>
      </c>
      <c r="D30" s="62" t="s">
        <v>98</v>
      </c>
      <c r="E30" s="61">
        <v>100</v>
      </c>
      <c r="F30" s="42">
        <v>363.3</v>
      </c>
      <c r="G30" s="42">
        <v>363.3</v>
      </c>
      <c r="H30" s="42">
        <f>F30</f>
        <v>363.3</v>
      </c>
      <c r="I30" s="42">
        <f>G30</f>
        <v>363.3</v>
      </c>
    </row>
    <row r="31" spans="1:9" ht="47.55" x14ac:dyDescent="0.3">
      <c r="A31" s="28" t="s">
        <v>378</v>
      </c>
      <c r="B31" s="58" t="s">
        <v>4</v>
      </c>
      <c r="C31" s="58" t="s">
        <v>29</v>
      </c>
      <c r="D31" s="60" t="s">
        <v>219</v>
      </c>
      <c r="E31" s="61"/>
      <c r="F31" s="42">
        <f>F32</f>
        <v>160</v>
      </c>
      <c r="G31" s="42">
        <f t="shared" ref="G31:I32" si="2">G32</f>
        <v>160</v>
      </c>
      <c r="H31" s="42">
        <f t="shared" si="2"/>
        <v>156</v>
      </c>
      <c r="I31" s="42">
        <f t="shared" si="2"/>
        <v>152</v>
      </c>
    </row>
    <row r="32" spans="1:9" ht="31.95" x14ac:dyDescent="0.3">
      <c r="A32" s="28" t="s">
        <v>220</v>
      </c>
      <c r="B32" s="58" t="s">
        <v>4</v>
      </c>
      <c r="C32" s="58" t="s">
        <v>29</v>
      </c>
      <c r="D32" s="60" t="s">
        <v>221</v>
      </c>
      <c r="E32" s="61"/>
      <c r="F32" s="42">
        <f>F33</f>
        <v>160</v>
      </c>
      <c r="G32" s="42">
        <f t="shared" si="2"/>
        <v>160</v>
      </c>
      <c r="H32" s="42">
        <f t="shared" si="2"/>
        <v>156</v>
      </c>
      <c r="I32" s="42">
        <f t="shared" si="2"/>
        <v>152</v>
      </c>
    </row>
    <row r="33" spans="1:166" ht="31.95" x14ac:dyDescent="0.3">
      <c r="A33" s="28" t="s">
        <v>222</v>
      </c>
      <c r="B33" s="58" t="s">
        <v>4</v>
      </c>
      <c r="C33" s="58" t="s">
        <v>29</v>
      </c>
      <c r="D33" s="60" t="s">
        <v>223</v>
      </c>
      <c r="E33" s="58"/>
      <c r="F33" s="40">
        <f>F34+F35</f>
        <v>160</v>
      </c>
      <c r="G33" s="40">
        <f>G34+G35</f>
        <v>160</v>
      </c>
      <c r="H33" s="40">
        <f>H34+H35</f>
        <v>156</v>
      </c>
      <c r="I33" s="40">
        <f>I34+I35</f>
        <v>152</v>
      </c>
    </row>
    <row r="34" spans="1:166" ht="62.5" x14ac:dyDescent="0.3">
      <c r="A34" s="7" t="s">
        <v>34</v>
      </c>
      <c r="B34" s="58" t="s">
        <v>4</v>
      </c>
      <c r="C34" s="58" t="s">
        <v>29</v>
      </c>
      <c r="D34" s="60" t="s">
        <v>223</v>
      </c>
      <c r="E34" s="58">
        <v>100</v>
      </c>
      <c r="F34" s="40">
        <v>150</v>
      </c>
      <c r="G34" s="40">
        <v>150</v>
      </c>
      <c r="H34" s="40">
        <f>F34</f>
        <v>150</v>
      </c>
      <c r="I34" s="40">
        <f>G34</f>
        <v>150</v>
      </c>
    </row>
    <row r="35" spans="1:166" ht="31.25" x14ac:dyDescent="0.3">
      <c r="A35" s="8" t="s">
        <v>86</v>
      </c>
      <c r="B35" s="58" t="s">
        <v>4</v>
      </c>
      <c r="C35" s="58" t="s">
        <v>29</v>
      </c>
      <c r="D35" s="60" t="s">
        <v>223</v>
      </c>
      <c r="E35" s="58">
        <v>200</v>
      </c>
      <c r="F35" s="40">
        <v>10</v>
      </c>
      <c r="G35" s="40">
        <v>10</v>
      </c>
      <c r="H35" s="41">
        <f>ROUND(F35*0.975-(H34*0.025),1)</f>
        <v>6</v>
      </c>
      <c r="I35" s="41">
        <f>ROUND(G35*0.95-(I34*0.05),1)</f>
        <v>2</v>
      </c>
    </row>
    <row r="36" spans="1:166" ht="31.95" x14ac:dyDescent="0.3">
      <c r="A36" s="29" t="s">
        <v>224</v>
      </c>
      <c r="B36" s="58" t="s">
        <v>4</v>
      </c>
      <c r="C36" s="58" t="s">
        <v>29</v>
      </c>
      <c r="D36" s="60" t="s">
        <v>225</v>
      </c>
      <c r="E36" s="58"/>
      <c r="F36" s="40">
        <f>F37</f>
        <v>2.5</v>
      </c>
      <c r="G36" s="40">
        <f t="shared" ref="G36:I38" si="3">G37</f>
        <v>2.5</v>
      </c>
      <c r="H36" s="40">
        <f t="shared" si="3"/>
        <v>2.5</v>
      </c>
      <c r="I36" s="40">
        <f t="shared" si="3"/>
        <v>2.5</v>
      </c>
    </row>
    <row r="37" spans="1:166" ht="31.95" x14ac:dyDescent="0.3">
      <c r="A37" s="29" t="s">
        <v>226</v>
      </c>
      <c r="B37" s="58" t="s">
        <v>4</v>
      </c>
      <c r="C37" s="58" t="s">
        <v>29</v>
      </c>
      <c r="D37" s="60" t="s">
        <v>227</v>
      </c>
      <c r="E37" s="58"/>
      <c r="F37" s="40">
        <f>F38</f>
        <v>2.5</v>
      </c>
      <c r="G37" s="40">
        <f t="shared" si="3"/>
        <v>2.5</v>
      </c>
      <c r="H37" s="40">
        <f t="shared" si="3"/>
        <v>2.5</v>
      </c>
      <c r="I37" s="40">
        <f t="shared" si="3"/>
        <v>2.5</v>
      </c>
    </row>
    <row r="38" spans="1:166" ht="31.95" x14ac:dyDescent="0.3">
      <c r="A38" s="29" t="s">
        <v>228</v>
      </c>
      <c r="B38" s="58" t="s">
        <v>4</v>
      </c>
      <c r="C38" s="58" t="s">
        <v>29</v>
      </c>
      <c r="D38" s="60" t="s">
        <v>229</v>
      </c>
      <c r="E38" s="58"/>
      <c r="F38" s="40">
        <f>F39</f>
        <v>2.5</v>
      </c>
      <c r="G38" s="40">
        <f t="shared" si="3"/>
        <v>2.5</v>
      </c>
      <c r="H38" s="40">
        <f t="shared" si="3"/>
        <v>2.5</v>
      </c>
      <c r="I38" s="40">
        <f t="shared" si="3"/>
        <v>2.5</v>
      </c>
    </row>
    <row r="39" spans="1:166" ht="46.9" x14ac:dyDescent="0.3">
      <c r="A39" s="7" t="s">
        <v>82</v>
      </c>
      <c r="B39" s="58" t="s">
        <v>4</v>
      </c>
      <c r="C39" s="58" t="s">
        <v>29</v>
      </c>
      <c r="D39" s="60" t="s">
        <v>99</v>
      </c>
      <c r="E39" s="58"/>
      <c r="F39" s="40">
        <f>F40</f>
        <v>2.5</v>
      </c>
      <c r="G39" s="40">
        <f>G40</f>
        <v>2.5</v>
      </c>
      <c r="H39" s="40">
        <f>H40</f>
        <v>2.5</v>
      </c>
      <c r="I39" s="40">
        <f>I40</f>
        <v>2.5</v>
      </c>
    </row>
    <row r="40" spans="1:166" ht="62.5" x14ac:dyDescent="0.3">
      <c r="A40" s="7" t="s">
        <v>34</v>
      </c>
      <c r="B40" s="58" t="s">
        <v>4</v>
      </c>
      <c r="C40" s="58" t="s">
        <v>29</v>
      </c>
      <c r="D40" s="60" t="s">
        <v>99</v>
      </c>
      <c r="E40" s="58">
        <v>100</v>
      </c>
      <c r="F40" s="40">
        <v>2.5</v>
      </c>
      <c r="G40" s="40">
        <v>2.5</v>
      </c>
      <c r="H40" s="40">
        <f>F40</f>
        <v>2.5</v>
      </c>
      <c r="I40" s="40">
        <f>G40</f>
        <v>2.5</v>
      </c>
    </row>
    <row r="41" spans="1:166" ht="18.350000000000001" x14ac:dyDescent="0.3">
      <c r="A41" s="7" t="s">
        <v>72</v>
      </c>
      <c r="B41" s="58" t="s">
        <v>4</v>
      </c>
      <c r="C41" s="57">
        <v>4</v>
      </c>
      <c r="D41" s="58" t="s">
        <v>96</v>
      </c>
      <c r="E41" s="58"/>
      <c r="F41" s="40">
        <f>F42+F46</f>
        <v>25103.8</v>
      </c>
      <c r="G41" s="40">
        <f>G42+G46</f>
        <v>25148.400000000001</v>
      </c>
      <c r="H41" s="40">
        <f>H42+H46</f>
        <v>24370.3</v>
      </c>
      <c r="I41" s="40">
        <f>I42+I46</f>
        <v>23679.100000000002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</row>
    <row r="42" spans="1:166" ht="18.350000000000001" x14ac:dyDescent="0.3">
      <c r="A42" s="9" t="s">
        <v>8</v>
      </c>
      <c r="B42" s="57">
        <v>1</v>
      </c>
      <c r="C42" s="57">
        <v>4</v>
      </c>
      <c r="D42" s="58" t="s">
        <v>97</v>
      </c>
      <c r="E42" s="59"/>
      <c r="F42" s="40">
        <f>F44+F43+F45</f>
        <v>24740.5</v>
      </c>
      <c r="G42" s="40">
        <f>G44+G43+G45</f>
        <v>24785.100000000002</v>
      </c>
      <c r="H42" s="40">
        <f>H44+H43+H45</f>
        <v>24007</v>
      </c>
      <c r="I42" s="40">
        <f>I44+I43+I45</f>
        <v>23315.800000000003</v>
      </c>
    </row>
    <row r="43" spans="1:166" ht="62.5" x14ac:dyDescent="0.3">
      <c r="A43" s="7" t="s">
        <v>34</v>
      </c>
      <c r="B43" s="58" t="s">
        <v>4</v>
      </c>
      <c r="C43" s="57">
        <v>4</v>
      </c>
      <c r="D43" s="58" t="s">
        <v>97</v>
      </c>
      <c r="E43" s="58">
        <v>100</v>
      </c>
      <c r="F43" s="40">
        <f>19889.2+34.4+480.8+72.8</f>
        <v>20477.2</v>
      </c>
      <c r="G43" s="40">
        <f>19889.2+34.4+480.8+72.8</f>
        <v>20477.2</v>
      </c>
      <c r="H43" s="41">
        <f>F43</f>
        <v>20477.2</v>
      </c>
      <c r="I43" s="41">
        <f>G43</f>
        <v>20477.2</v>
      </c>
    </row>
    <row r="44" spans="1:166" ht="31.25" x14ac:dyDescent="0.3">
      <c r="A44" s="8" t="s">
        <v>86</v>
      </c>
      <c r="B44" s="58" t="s">
        <v>4</v>
      </c>
      <c r="C44" s="57">
        <v>4</v>
      </c>
      <c r="D44" s="58" t="s">
        <v>97</v>
      </c>
      <c r="E44" s="58">
        <v>200</v>
      </c>
      <c r="F44" s="43">
        <v>4211.5</v>
      </c>
      <c r="G44" s="43">
        <v>4256.1000000000004</v>
      </c>
      <c r="H44" s="41">
        <f>ROUND(F44*0.975-(H43+H108)*0.025,1)</f>
        <v>3479.3</v>
      </c>
      <c r="I44" s="41">
        <f>ROUND(G44*0.95-(I43+I108)*0.05,1)</f>
        <v>2789.4</v>
      </c>
    </row>
    <row r="45" spans="1:166" ht="18.350000000000001" x14ac:dyDescent="0.3">
      <c r="A45" s="7" t="s">
        <v>36</v>
      </c>
      <c r="B45" s="58" t="s">
        <v>4</v>
      </c>
      <c r="C45" s="57">
        <v>4</v>
      </c>
      <c r="D45" s="58" t="s">
        <v>97</v>
      </c>
      <c r="E45" s="58">
        <v>800</v>
      </c>
      <c r="F45" s="43">
        <f>44.8+2+5</f>
        <v>51.8</v>
      </c>
      <c r="G45" s="43">
        <f>44.8+2+5</f>
        <v>51.8</v>
      </c>
      <c r="H45" s="41">
        <f>ROUND(F45*0.975,1)</f>
        <v>50.5</v>
      </c>
      <c r="I45" s="41">
        <f>ROUND(G45*0.95,1)</f>
        <v>49.2</v>
      </c>
    </row>
    <row r="46" spans="1:166" ht="31.25" x14ac:dyDescent="0.3">
      <c r="A46" s="7" t="s">
        <v>166</v>
      </c>
      <c r="B46" s="58" t="s">
        <v>4</v>
      </c>
      <c r="C46" s="58" t="s">
        <v>29</v>
      </c>
      <c r="D46" s="60" t="s">
        <v>216</v>
      </c>
      <c r="E46" s="58"/>
      <c r="F46" s="40">
        <f>F47</f>
        <v>363.3</v>
      </c>
      <c r="G46" s="40">
        <f>G47</f>
        <v>363.3</v>
      </c>
      <c r="H46" s="40">
        <f>H47</f>
        <v>363.3</v>
      </c>
      <c r="I46" s="40">
        <f>I47</f>
        <v>363.3</v>
      </c>
    </row>
    <row r="47" spans="1:166" s="1" customFormat="1" ht="62.5" x14ac:dyDescent="0.3">
      <c r="A47" s="7" t="s">
        <v>34</v>
      </c>
      <c r="B47" s="58" t="s">
        <v>4</v>
      </c>
      <c r="C47" s="58" t="s">
        <v>29</v>
      </c>
      <c r="D47" s="60" t="s">
        <v>216</v>
      </c>
      <c r="E47" s="58">
        <v>100</v>
      </c>
      <c r="F47" s="40">
        <v>363.3</v>
      </c>
      <c r="G47" s="40">
        <v>363.3</v>
      </c>
      <c r="H47" s="40">
        <f>F47</f>
        <v>363.3</v>
      </c>
      <c r="I47" s="40">
        <f>G47</f>
        <v>363.3</v>
      </c>
    </row>
    <row r="48" spans="1:166" s="1" customFormat="1" ht="18.350000000000001" x14ac:dyDescent="0.3">
      <c r="A48" s="7" t="s">
        <v>57</v>
      </c>
      <c r="B48" s="58" t="s">
        <v>4</v>
      </c>
      <c r="C48" s="60" t="s">
        <v>12</v>
      </c>
      <c r="D48" s="60"/>
      <c r="E48" s="58"/>
      <c r="F48" s="40">
        <f>F51</f>
        <v>31.2</v>
      </c>
      <c r="G48" s="40">
        <f>G51</f>
        <v>23.1</v>
      </c>
      <c r="H48" s="40">
        <f>H51</f>
        <v>31.2</v>
      </c>
      <c r="I48" s="40">
        <f>I51</f>
        <v>23.1</v>
      </c>
    </row>
    <row r="49" spans="1:9" s="1" customFormat="1" ht="18.350000000000001" x14ac:dyDescent="0.3">
      <c r="A49" s="7" t="s">
        <v>72</v>
      </c>
      <c r="B49" s="58" t="s">
        <v>4</v>
      </c>
      <c r="C49" s="60" t="s">
        <v>12</v>
      </c>
      <c r="D49" s="60" t="s">
        <v>96</v>
      </c>
      <c r="E49" s="58"/>
      <c r="F49" s="40">
        <f>F51</f>
        <v>31.2</v>
      </c>
      <c r="G49" s="40">
        <f>G51</f>
        <v>23.1</v>
      </c>
      <c r="H49" s="40">
        <f>H51</f>
        <v>31.2</v>
      </c>
      <c r="I49" s="40">
        <f>I51</f>
        <v>23.1</v>
      </c>
    </row>
    <row r="50" spans="1:9" s="1" customFormat="1" ht="62.5" x14ac:dyDescent="0.3">
      <c r="A50" s="7" t="s">
        <v>167</v>
      </c>
      <c r="B50" s="58" t="s">
        <v>4</v>
      </c>
      <c r="C50" s="60" t="s">
        <v>12</v>
      </c>
      <c r="D50" s="58" t="s">
        <v>100</v>
      </c>
      <c r="E50" s="58"/>
      <c r="F50" s="40">
        <f>F51</f>
        <v>31.2</v>
      </c>
      <c r="G50" s="40">
        <f>G51</f>
        <v>23.1</v>
      </c>
      <c r="H50" s="40">
        <f>H51</f>
        <v>31.2</v>
      </c>
      <c r="I50" s="40">
        <f>I51</f>
        <v>23.1</v>
      </c>
    </row>
    <row r="51" spans="1:9" s="1" customFormat="1" ht="31.25" x14ac:dyDescent="0.3">
      <c r="A51" s="8" t="s">
        <v>86</v>
      </c>
      <c r="B51" s="58" t="s">
        <v>4</v>
      </c>
      <c r="C51" s="60" t="s">
        <v>12</v>
      </c>
      <c r="D51" s="58" t="s">
        <v>100</v>
      </c>
      <c r="E51" s="58">
        <v>200</v>
      </c>
      <c r="F51" s="40">
        <v>31.2</v>
      </c>
      <c r="G51" s="40">
        <v>23.1</v>
      </c>
      <c r="H51" s="40">
        <f>F51</f>
        <v>31.2</v>
      </c>
      <c r="I51" s="40">
        <f>G51</f>
        <v>23.1</v>
      </c>
    </row>
    <row r="52" spans="1:9" s="1" customFormat="1" ht="46.9" x14ac:dyDescent="0.3">
      <c r="A52" s="9" t="s">
        <v>23</v>
      </c>
      <c r="B52" s="57">
        <v>1</v>
      </c>
      <c r="C52" s="57">
        <v>6</v>
      </c>
      <c r="D52" s="60"/>
      <c r="E52" s="59"/>
      <c r="F52" s="40">
        <f t="shared" ref="F52:I53" si="4">F53</f>
        <v>14052.1</v>
      </c>
      <c r="G52" s="40">
        <f t="shared" si="4"/>
        <v>14121.2</v>
      </c>
      <c r="H52" s="40">
        <f t="shared" si="4"/>
        <v>13700.8</v>
      </c>
      <c r="I52" s="40">
        <f t="shared" si="4"/>
        <v>13415.1</v>
      </c>
    </row>
    <row r="53" spans="1:9" s="1" customFormat="1" ht="18.350000000000001" x14ac:dyDescent="0.3">
      <c r="A53" s="7" t="s">
        <v>72</v>
      </c>
      <c r="B53" s="58" t="s">
        <v>4</v>
      </c>
      <c r="C53" s="58" t="s">
        <v>35</v>
      </c>
      <c r="D53" s="60" t="s">
        <v>96</v>
      </c>
      <c r="E53" s="59"/>
      <c r="F53" s="40">
        <f t="shared" si="4"/>
        <v>14052.1</v>
      </c>
      <c r="G53" s="40">
        <f t="shared" si="4"/>
        <v>14121.2</v>
      </c>
      <c r="H53" s="40">
        <f t="shared" si="4"/>
        <v>13700.8</v>
      </c>
      <c r="I53" s="40">
        <f t="shared" si="4"/>
        <v>13415.1</v>
      </c>
    </row>
    <row r="54" spans="1:9" s="1" customFormat="1" ht="18.350000000000001" x14ac:dyDescent="0.3">
      <c r="A54" s="9" t="s">
        <v>8</v>
      </c>
      <c r="B54" s="58" t="s">
        <v>4</v>
      </c>
      <c r="C54" s="58" t="s">
        <v>35</v>
      </c>
      <c r="D54" s="60" t="s">
        <v>97</v>
      </c>
      <c r="E54" s="58"/>
      <c r="F54" s="40">
        <f>F55+F56+F57</f>
        <v>14052.1</v>
      </c>
      <c r="G54" s="40">
        <f>G55+G56+G57</f>
        <v>14121.2</v>
      </c>
      <c r="H54" s="40">
        <f>H55+H56+H57</f>
        <v>13700.8</v>
      </c>
      <c r="I54" s="40">
        <f>I55+I56+I57</f>
        <v>13415.1</v>
      </c>
    </row>
    <row r="55" spans="1:9" s="1" customFormat="1" ht="62.5" x14ac:dyDescent="0.3">
      <c r="A55" s="7" t="s">
        <v>34</v>
      </c>
      <c r="B55" s="58" t="s">
        <v>4</v>
      </c>
      <c r="C55" s="58" t="s">
        <v>35</v>
      </c>
      <c r="D55" s="60" t="s">
        <v>97</v>
      </c>
      <c r="E55" s="58">
        <v>100</v>
      </c>
      <c r="F55" s="40">
        <f>7775.7+1754.8</f>
        <v>9530.5</v>
      </c>
      <c r="G55" s="40">
        <f>7775.7+1754.8</f>
        <v>9530.5</v>
      </c>
      <c r="H55" s="41">
        <f>F55</f>
        <v>9530.5</v>
      </c>
      <c r="I55" s="41">
        <f>G55</f>
        <v>9530.5</v>
      </c>
    </row>
    <row r="56" spans="1:9" s="1" customFormat="1" ht="31.25" x14ac:dyDescent="0.3">
      <c r="A56" s="8" t="s">
        <v>86</v>
      </c>
      <c r="B56" s="58" t="s">
        <v>4</v>
      </c>
      <c r="C56" s="58" t="s">
        <v>35</v>
      </c>
      <c r="D56" s="60" t="s">
        <v>97</v>
      </c>
      <c r="E56" s="58">
        <v>200</v>
      </c>
      <c r="F56" s="43">
        <f>4082+430.5</f>
        <v>4512.5</v>
      </c>
      <c r="G56" s="43">
        <f>430.5+4151.1</f>
        <v>4581.6000000000004</v>
      </c>
      <c r="H56" s="41">
        <f>ROUND(F56*0.975-H55*0.025,1)</f>
        <v>4161.3999999999996</v>
      </c>
      <c r="I56" s="41">
        <f>ROUND(G56*0.95-I55*0.05,1)</f>
        <v>3876</v>
      </c>
    </row>
    <row r="57" spans="1:9" s="1" customFormat="1" ht="18.350000000000001" x14ac:dyDescent="0.3">
      <c r="A57" s="7" t="s">
        <v>36</v>
      </c>
      <c r="B57" s="58" t="s">
        <v>4</v>
      </c>
      <c r="C57" s="58" t="s">
        <v>35</v>
      </c>
      <c r="D57" s="60" t="s">
        <v>97</v>
      </c>
      <c r="E57" s="58">
        <v>800</v>
      </c>
      <c r="F57" s="43">
        <v>9.1</v>
      </c>
      <c r="G57" s="43">
        <v>9.1</v>
      </c>
      <c r="H57" s="41">
        <f>ROUND(F57*0.975,1)</f>
        <v>8.9</v>
      </c>
      <c r="I57" s="41">
        <f>ROUND(G57*0.95,1)</f>
        <v>8.6</v>
      </c>
    </row>
    <row r="58" spans="1:9" s="1" customFormat="1" ht="18.350000000000001" x14ac:dyDescent="0.3">
      <c r="A58" s="7" t="s">
        <v>10</v>
      </c>
      <c r="B58" s="58" t="s">
        <v>4</v>
      </c>
      <c r="C58" s="58">
        <v>11</v>
      </c>
      <c r="D58" s="58"/>
      <c r="E58" s="58"/>
      <c r="F58" s="40">
        <f t="shared" ref="F58:I59" si="5">F60</f>
        <v>6461.5</v>
      </c>
      <c r="G58" s="40">
        <f t="shared" si="5"/>
        <v>6461.5</v>
      </c>
      <c r="H58" s="40">
        <f t="shared" si="5"/>
        <v>6300</v>
      </c>
      <c r="I58" s="40">
        <f t="shared" si="5"/>
        <v>6138.4</v>
      </c>
    </row>
    <row r="59" spans="1:9" s="1" customFormat="1" ht="18.350000000000001" x14ac:dyDescent="0.3">
      <c r="A59" s="7" t="s">
        <v>72</v>
      </c>
      <c r="B59" s="58" t="s">
        <v>4</v>
      </c>
      <c r="C59" s="58">
        <v>11</v>
      </c>
      <c r="D59" s="60" t="s">
        <v>96</v>
      </c>
      <c r="E59" s="58"/>
      <c r="F59" s="40">
        <f t="shared" si="5"/>
        <v>6461.5</v>
      </c>
      <c r="G59" s="40">
        <f t="shared" si="5"/>
        <v>6461.5</v>
      </c>
      <c r="H59" s="40">
        <f t="shared" si="5"/>
        <v>6300</v>
      </c>
      <c r="I59" s="40">
        <f t="shared" si="5"/>
        <v>6138.4</v>
      </c>
    </row>
    <row r="60" spans="1:9" s="1" customFormat="1" ht="18.350000000000001" x14ac:dyDescent="0.3">
      <c r="A60" s="7" t="s">
        <v>10</v>
      </c>
      <c r="B60" s="58" t="s">
        <v>4</v>
      </c>
      <c r="C60" s="58">
        <v>11</v>
      </c>
      <c r="D60" s="58" t="s">
        <v>101</v>
      </c>
      <c r="E60" s="58"/>
      <c r="F60" s="40">
        <f>F61</f>
        <v>6461.5</v>
      </c>
      <c r="G60" s="40">
        <f>G61</f>
        <v>6461.5</v>
      </c>
      <c r="H60" s="40">
        <f>H61</f>
        <v>6300</v>
      </c>
      <c r="I60" s="40">
        <f>I61</f>
        <v>6138.4</v>
      </c>
    </row>
    <row r="61" spans="1:9" s="1" customFormat="1" ht="18.350000000000001" x14ac:dyDescent="0.3">
      <c r="A61" s="7" t="s">
        <v>36</v>
      </c>
      <c r="B61" s="58" t="s">
        <v>4</v>
      </c>
      <c r="C61" s="58">
        <v>11</v>
      </c>
      <c r="D61" s="58" t="s">
        <v>101</v>
      </c>
      <c r="E61" s="58">
        <v>800</v>
      </c>
      <c r="F61" s="40">
        <f>6961.5-500</f>
        <v>6461.5</v>
      </c>
      <c r="G61" s="40">
        <f>6961.5-500</f>
        <v>6461.5</v>
      </c>
      <c r="H61" s="41">
        <f>ROUND(F61*0.975,1)</f>
        <v>6300</v>
      </c>
      <c r="I61" s="41">
        <f>ROUND(G61*0.95,1)</f>
        <v>6138.4</v>
      </c>
    </row>
    <row r="62" spans="1:9" s="1" customFormat="1" ht="18.350000000000001" x14ac:dyDescent="0.3">
      <c r="A62" s="9" t="s">
        <v>24</v>
      </c>
      <c r="B62" s="57">
        <v>1</v>
      </c>
      <c r="C62" s="57">
        <v>13</v>
      </c>
      <c r="D62" s="60"/>
      <c r="E62" s="59"/>
      <c r="F62" s="40">
        <f>F63+F69+F73+F77</f>
        <v>25212.33</v>
      </c>
      <c r="G62" s="40">
        <f>G63+G69+G73+G77</f>
        <v>25197.530000000002</v>
      </c>
      <c r="H62" s="40">
        <f>H63+H69+H73+H77</f>
        <v>24956.73</v>
      </c>
      <c r="I62" s="40">
        <f>I63+I69+I73+I77</f>
        <v>24693.730000000003</v>
      </c>
    </row>
    <row r="63" spans="1:9" s="1" customFormat="1" ht="31.25" x14ac:dyDescent="0.3">
      <c r="A63" s="8" t="s">
        <v>231</v>
      </c>
      <c r="B63" s="58" t="s">
        <v>4</v>
      </c>
      <c r="C63" s="58">
        <v>13</v>
      </c>
      <c r="D63" s="60" t="s">
        <v>212</v>
      </c>
      <c r="E63" s="59"/>
      <c r="F63" s="40">
        <f>F64</f>
        <v>1986</v>
      </c>
      <c r="G63" s="40">
        <f t="shared" ref="G63:I65" si="6">G64</f>
        <v>1986</v>
      </c>
      <c r="H63" s="40">
        <f t="shared" si="6"/>
        <v>1986</v>
      </c>
      <c r="I63" s="40">
        <f t="shared" si="6"/>
        <v>1986</v>
      </c>
    </row>
    <row r="64" spans="1:9" s="1" customFormat="1" ht="31.25" x14ac:dyDescent="0.3">
      <c r="A64" s="8" t="s">
        <v>232</v>
      </c>
      <c r="B64" s="58" t="s">
        <v>4</v>
      </c>
      <c r="C64" s="58">
        <v>13</v>
      </c>
      <c r="D64" s="60" t="s">
        <v>233</v>
      </c>
      <c r="E64" s="59"/>
      <c r="F64" s="40">
        <f>F65</f>
        <v>1986</v>
      </c>
      <c r="G64" s="40">
        <f t="shared" si="6"/>
        <v>1986</v>
      </c>
      <c r="H64" s="40">
        <f t="shared" si="6"/>
        <v>1986</v>
      </c>
      <c r="I64" s="40">
        <f t="shared" si="6"/>
        <v>1986</v>
      </c>
    </row>
    <row r="65" spans="1:9" s="1" customFormat="1" ht="46.9" x14ac:dyDescent="0.3">
      <c r="A65" s="8" t="s">
        <v>234</v>
      </c>
      <c r="B65" s="58" t="s">
        <v>4</v>
      </c>
      <c r="C65" s="58">
        <v>13</v>
      </c>
      <c r="D65" s="60" t="s">
        <v>230</v>
      </c>
      <c r="E65" s="59"/>
      <c r="F65" s="40">
        <f>F66</f>
        <v>1986</v>
      </c>
      <c r="G65" s="40">
        <f t="shared" si="6"/>
        <v>1986</v>
      </c>
      <c r="H65" s="40">
        <f t="shared" si="6"/>
        <v>1986</v>
      </c>
      <c r="I65" s="40">
        <f t="shared" si="6"/>
        <v>1986</v>
      </c>
    </row>
    <row r="66" spans="1:9" s="1" customFormat="1" ht="31.25" x14ac:dyDescent="0.3">
      <c r="A66" s="7" t="s">
        <v>168</v>
      </c>
      <c r="B66" s="58" t="s">
        <v>4</v>
      </c>
      <c r="C66" s="58">
        <v>13</v>
      </c>
      <c r="D66" s="60" t="s">
        <v>102</v>
      </c>
      <c r="E66" s="58"/>
      <c r="F66" s="43">
        <f>F68+F67</f>
        <v>1986</v>
      </c>
      <c r="G66" s="43">
        <f>G68+G67</f>
        <v>1986</v>
      </c>
      <c r="H66" s="43">
        <f>H68+H67</f>
        <v>1986</v>
      </c>
      <c r="I66" s="43">
        <f>I68+I67</f>
        <v>1986</v>
      </c>
    </row>
    <row r="67" spans="1:9" s="1" customFormat="1" ht="62.5" x14ac:dyDescent="0.3">
      <c r="A67" s="7" t="s">
        <v>34</v>
      </c>
      <c r="B67" s="58" t="s">
        <v>4</v>
      </c>
      <c r="C67" s="58">
        <v>13</v>
      </c>
      <c r="D67" s="60" t="s">
        <v>102</v>
      </c>
      <c r="E67" s="58">
        <v>100</v>
      </c>
      <c r="F67" s="40">
        <v>1932</v>
      </c>
      <c r="G67" s="40">
        <v>1932</v>
      </c>
      <c r="H67" s="40">
        <f>F67</f>
        <v>1932</v>
      </c>
      <c r="I67" s="40">
        <f>G67</f>
        <v>1932</v>
      </c>
    </row>
    <row r="68" spans="1:9" ht="31.25" x14ac:dyDescent="0.3">
      <c r="A68" s="8" t="s">
        <v>86</v>
      </c>
      <c r="B68" s="58" t="s">
        <v>4</v>
      </c>
      <c r="C68" s="58">
        <v>13</v>
      </c>
      <c r="D68" s="60" t="s">
        <v>102</v>
      </c>
      <c r="E68" s="58">
        <v>200</v>
      </c>
      <c r="F68" s="40">
        <v>54</v>
      </c>
      <c r="G68" s="40">
        <v>54</v>
      </c>
      <c r="H68" s="40">
        <f>F68</f>
        <v>54</v>
      </c>
      <c r="I68" s="40">
        <f>G68</f>
        <v>54</v>
      </c>
    </row>
    <row r="69" spans="1:9" ht="47.55" x14ac:dyDescent="0.3">
      <c r="A69" s="29" t="s">
        <v>379</v>
      </c>
      <c r="B69" s="61" t="s">
        <v>4</v>
      </c>
      <c r="C69" s="61">
        <v>13</v>
      </c>
      <c r="D69" s="60" t="s">
        <v>235</v>
      </c>
      <c r="E69" s="58"/>
      <c r="F69" s="40">
        <f>F70</f>
        <v>230.7</v>
      </c>
      <c r="G69" s="40">
        <f t="shared" ref="G69:I70" si="7">G70</f>
        <v>230.7</v>
      </c>
      <c r="H69" s="40">
        <f t="shared" si="7"/>
        <v>224.9</v>
      </c>
      <c r="I69" s="40">
        <f t="shared" si="7"/>
        <v>219.2</v>
      </c>
    </row>
    <row r="70" spans="1:9" ht="47.55" x14ac:dyDescent="0.3">
      <c r="A70" s="29" t="s">
        <v>236</v>
      </c>
      <c r="B70" s="61" t="s">
        <v>4</v>
      </c>
      <c r="C70" s="61">
        <v>13</v>
      </c>
      <c r="D70" s="60" t="s">
        <v>237</v>
      </c>
      <c r="E70" s="58"/>
      <c r="F70" s="40">
        <f>F71</f>
        <v>230.7</v>
      </c>
      <c r="G70" s="40">
        <f t="shared" si="7"/>
        <v>230.7</v>
      </c>
      <c r="H70" s="40">
        <f t="shared" si="7"/>
        <v>224.9</v>
      </c>
      <c r="I70" s="40">
        <f t="shared" si="7"/>
        <v>219.2</v>
      </c>
    </row>
    <row r="71" spans="1:9" s="1" customFormat="1" ht="31.95" x14ac:dyDescent="0.3">
      <c r="A71" s="29" t="s">
        <v>238</v>
      </c>
      <c r="B71" s="61" t="s">
        <v>4</v>
      </c>
      <c r="C71" s="61">
        <v>13</v>
      </c>
      <c r="D71" s="60" t="s">
        <v>239</v>
      </c>
      <c r="E71" s="58"/>
      <c r="F71" s="40">
        <f>F72</f>
        <v>230.7</v>
      </c>
      <c r="G71" s="40">
        <f>G72</f>
        <v>230.7</v>
      </c>
      <c r="H71" s="40">
        <f>H72</f>
        <v>224.9</v>
      </c>
      <c r="I71" s="40">
        <f>I72</f>
        <v>219.2</v>
      </c>
    </row>
    <row r="72" spans="1:9" s="1" customFormat="1" ht="31.25" x14ac:dyDescent="0.3">
      <c r="A72" s="7" t="s">
        <v>86</v>
      </c>
      <c r="B72" s="58" t="s">
        <v>4</v>
      </c>
      <c r="C72" s="58">
        <v>13</v>
      </c>
      <c r="D72" s="60" t="s">
        <v>239</v>
      </c>
      <c r="E72" s="58">
        <v>200</v>
      </c>
      <c r="F72" s="40">
        <f>44+28+118.7+4+36</f>
        <v>230.7</v>
      </c>
      <c r="G72" s="40">
        <f>44+28+118.7+4+36</f>
        <v>230.7</v>
      </c>
      <c r="H72" s="41">
        <f>ROUND(F72*0.975,1)</f>
        <v>224.9</v>
      </c>
      <c r="I72" s="41">
        <f>ROUND(G72*0.95,1)</f>
        <v>219.2</v>
      </c>
    </row>
    <row r="73" spans="1:9" s="1" customFormat="1" ht="31.95" x14ac:dyDescent="0.3">
      <c r="A73" s="28" t="s">
        <v>380</v>
      </c>
      <c r="B73" s="57">
        <v>1</v>
      </c>
      <c r="C73" s="57">
        <v>13</v>
      </c>
      <c r="D73" s="60" t="s">
        <v>240</v>
      </c>
      <c r="E73" s="58"/>
      <c r="F73" s="40">
        <f>F74</f>
        <v>50</v>
      </c>
      <c r="G73" s="40">
        <f t="shared" ref="G73:I74" si="8">G74</f>
        <v>50</v>
      </c>
      <c r="H73" s="40">
        <f t="shared" si="8"/>
        <v>48.8</v>
      </c>
      <c r="I73" s="40">
        <f t="shared" si="8"/>
        <v>47.5</v>
      </c>
    </row>
    <row r="74" spans="1:9" s="1" customFormat="1" ht="63.2" x14ac:dyDescent="0.3">
      <c r="A74" s="28" t="s">
        <v>241</v>
      </c>
      <c r="B74" s="57">
        <v>1</v>
      </c>
      <c r="C74" s="57">
        <v>13</v>
      </c>
      <c r="D74" s="60" t="s">
        <v>242</v>
      </c>
      <c r="E74" s="58"/>
      <c r="F74" s="40">
        <f>F75</f>
        <v>50</v>
      </c>
      <c r="G74" s="40">
        <f t="shared" si="8"/>
        <v>50</v>
      </c>
      <c r="H74" s="40">
        <f t="shared" si="8"/>
        <v>48.8</v>
      </c>
      <c r="I74" s="40">
        <f t="shared" si="8"/>
        <v>47.5</v>
      </c>
    </row>
    <row r="75" spans="1:9" s="1" customFormat="1" ht="31.95" x14ac:dyDescent="0.3">
      <c r="A75" s="28" t="s">
        <v>243</v>
      </c>
      <c r="B75" s="61" t="s">
        <v>4</v>
      </c>
      <c r="C75" s="61">
        <v>13</v>
      </c>
      <c r="D75" s="62" t="s">
        <v>244</v>
      </c>
      <c r="E75" s="61"/>
      <c r="F75" s="42">
        <v>50</v>
      </c>
      <c r="G75" s="42">
        <v>50</v>
      </c>
      <c r="H75" s="42">
        <f>H76</f>
        <v>48.8</v>
      </c>
      <c r="I75" s="42">
        <f>I76</f>
        <v>47.5</v>
      </c>
    </row>
    <row r="76" spans="1:9" s="1" customFormat="1" ht="31.25" x14ac:dyDescent="0.3">
      <c r="A76" s="8" t="s">
        <v>86</v>
      </c>
      <c r="B76" s="61" t="s">
        <v>4</v>
      </c>
      <c r="C76" s="61">
        <v>13</v>
      </c>
      <c r="D76" s="62" t="s">
        <v>244</v>
      </c>
      <c r="E76" s="61">
        <v>200</v>
      </c>
      <c r="F76" s="42">
        <v>50</v>
      </c>
      <c r="G76" s="42">
        <v>50</v>
      </c>
      <c r="H76" s="41">
        <f>ROUND(F76*0.975,1)</f>
        <v>48.8</v>
      </c>
      <c r="I76" s="41">
        <f>ROUND(G76*0.95,1)</f>
        <v>47.5</v>
      </c>
    </row>
    <row r="77" spans="1:9" ht="18.350000000000001" x14ac:dyDescent="0.3">
      <c r="A77" s="7" t="s">
        <v>72</v>
      </c>
      <c r="B77" s="57">
        <v>1</v>
      </c>
      <c r="C77" s="57">
        <v>13</v>
      </c>
      <c r="D77" s="58" t="s">
        <v>96</v>
      </c>
      <c r="E77" s="59"/>
      <c r="F77" s="40">
        <f>F78+F82+F84+F87+F90+F92+F94+F96+F98+F101+F105+F109+F107</f>
        <v>22945.63</v>
      </c>
      <c r="G77" s="40">
        <f>G78+G82+G84+G87+G90+G92+G94+G96+G98+G101+G105+G109+G107</f>
        <v>22930.83</v>
      </c>
      <c r="H77" s="40">
        <f>H78+H82+H84+H87+H90+H92+H94+H96+H98+H101+H105+H109+H107</f>
        <v>22697.03</v>
      </c>
      <c r="I77" s="40">
        <f>I78+I82+I84+I87+I90+I92+I94+I96+I98+I101+I105+I109+I107</f>
        <v>22441.030000000002</v>
      </c>
    </row>
    <row r="78" spans="1:9" ht="18.350000000000001" x14ac:dyDescent="0.3">
      <c r="A78" s="9" t="s">
        <v>8</v>
      </c>
      <c r="B78" s="57">
        <v>1</v>
      </c>
      <c r="C78" s="57">
        <v>13</v>
      </c>
      <c r="D78" s="58" t="s">
        <v>97</v>
      </c>
      <c r="E78" s="59"/>
      <c r="F78" s="40">
        <f>F80+F79+F81</f>
        <v>7446.9</v>
      </c>
      <c r="G78" s="40">
        <f>G80+G79+G81</f>
        <v>7486.5</v>
      </c>
      <c r="H78" s="40">
        <f>H80+H79+H81</f>
        <v>7260.8</v>
      </c>
      <c r="I78" s="40">
        <f>I80+I79+I81</f>
        <v>7112.2</v>
      </c>
    </row>
    <row r="79" spans="1:9" ht="62.5" x14ac:dyDescent="0.3">
      <c r="A79" s="7" t="s">
        <v>34</v>
      </c>
      <c r="B79" s="58" t="s">
        <v>4</v>
      </c>
      <c r="C79" s="58">
        <v>13</v>
      </c>
      <c r="D79" s="58" t="s">
        <v>97</v>
      </c>
      <c r="E79" s="58">
        <v>100</v>
      </c>
      <c r="F79" s="40">
        <f>5594.7+7</f>
        <v>5601.7</v>
      </c>
      <c r="G79" s="40">
        <f>5594.7+7</f>
        <v>5601.7</v>
      </c>
      <c r="H79" s="41">
        <f>F79</f>
        <v>5601.7</v>
      </c>
      <c r="I79" s="41">
        <f>G79</f>
        <v>5601.7</v>
      </c>
    </row>
    <row r="80" spans="1:9" ht="31.25" x14ac:dyDescent="0.3">
      <c r="A80" s="8" t="s">
        <v>86</v>
      </c>
      <c r="B80" s="58" t="s">
        <v>4</v>
      </c>
      <c r="C80" s="58">
        <v>13</v>
      </c>
      <c r="D80" s="58" t="s">
        <v>97</v>
      </c>
      <c r="E80" s="58">
        <v>200</v>
      </c>
      <c r="F80" s="40">
        <v>1835.2</v>
      </c>
      <c r="G80" s="40">
        <v>1874.8</v>
      </c>
      <c r="H80" s="41">
        <f>ROUND(F80*0.975-H79*0.025,1)</f>
        <v>1649.3</v>
      </c>
      <c r="I80" s="41">
        <f>ROUND(G80*0.95-I79*0.05,1)</f>
        <v>1501</v>
      </c>
    </row>
    <row r="81" spans="1:166" ht="18.350000000000001" x14ac:dyDescent="0.3">
      <c r="A81" s="7" t="s">
        <v>36</v>
      </c>
      <c r="B81" s="58" t="s">
        <v>4</v>
      </c>
      <c r="C81" s="58">
        <v>13</v>
      </c>
      <c r="D81" s="58" t="s">
        <v>97</v>
      </c>
      <c r="E81" s="58">
        <v>800</v>
      </c>
      <c r="F81" s="40">
        <v>10</v>
      </c>
      <c r="G81" s="40">
        <v>10</v>
      </c>
      <c r="H81" s="41">
        <f>ROUND(F81*0.975,1)</f>
        <v>9.8000000000000007</v>
      </c>
      <c r="I81" s="41">
        <f>ROUND(G81*0.95,1)</f>
        <v>9.5</v>
      </c>
    </row>
    <row r="82" spans="1:166" ht="31.25" x14ac:dyDescent="0.3">
      <c r="A82" s="7" t="s">
        <v>28</v>
      </c>
      <c r="B82" s="58" t="s">
        <v>4</v>
      </c>
      <c r="C82" s="58">
        <v>13</v>
      </c>
      <c r="D82" s="58" t="s">
        <v>103</v>
      </c>
      <c r="E82" s="58"/>
      <c r="F82" s="43">
        <f>F83</f>
        <v>468.90000000000003</v>
      </c>
      <c r="G82" s="43">
        <f>G83</f>
        <v>468.90000000000003</v>
      </c>
      <c r="H82" s="43">
        <f>H83</f>
        <v>457.2</v>
      </c>
      <c r="I82" s="43">
        <f>I83</f>
        <v>445.5</v>
      </c>
    </row>
    <row r="83" spans="1:166" ht="18.350000000000001" x14ac:dyDescent="0.3">
      <c r="A83" s="7" t="s">
        <v>36</v>
      </c>
      <c r="B83" s="58" t="s">
        <v>4</v>
      </c>
      <c r="C83" s="58">
        <v>13</v>
      </c>
      <c r="D83" s="58" t="s">
        <v>103</v>
      </c>
      <c r="E83" s="58">
        <v>800</v>
      </c>
      <c r="F83" s="43">
        <f>231.3+59.1+178.5</f>
        <v>468.90000000000003</v>
      </c>
      <c r="G83" s="43">
        <f>231.3+59.1+178.5</f>
        <v>468.90000000000003</v>
      </c>
      <c r="H83" s="41">
        <f>ROUND(F83*0.975,1)</f>
        <v>457.2</v>
      </c>
      <c r="I83" s="41">
        <f>ROUND(G83*0.95,1)</f>
        <v>445.5</v>
      </c>
    </row>
    <row r="84" spans="1:166" ht="46.9" x14ac:dyDescent="0.3">
      <c r="A84" s="10" t="s">
        <v>169</v>
      </c>
      <c r="B84" s="58" t="s">
        <v>4</v>
      </c>
      <c r="C84" s="58">
        <v>13</v>
      </c>
      <c r="D84" s="58" t="s">
        <v>104</v>
      </c>
      <c r="E84" s="58"/>
      <c r="F84" s="43">
        <f>F86+F85</f>
        <v>751.8</v>
      </c>
      <c r="G84" s="43">
        <f>G86+G85</f>
        <v>753.1</v>
      </c>
      <c r="H84" s="43">
        <f>H86+H85</f>
        <v>751.8</v>
      </c>
      <c r="I84" s="43">
        <f>I86+I85</f>
        <v>753.1</v>
      </c>
    </row>
    <row r="85" spans="1:166" ht="62.5" x14ac:dyDescent="0.3">
      <c r="A85" s="7" t="s">
        <v>34</v>
      </c>
      <c r="B85" s="58" t="s">
        <v>4</v>
      </c>
      <c r="C85" s="58">
        <v>13</v>
      </c>
      <c r="D85" s="58" t="s">
        <v>104</v>
      </c>
      <c r="E85" s="58">
        <v>100</v>
      </c>
      <c r="F85" s="40">
        <v>703</v>
      </c>
      <c r="G85" s="40">
        <v>703</v>
      </c>
      <c r="H85" s="40">
        <f>F85</f>
        <v>703</v>
      </c>
      <c r="I85" s="40">
        <f>G85</f>
        <v>703</v>
      </c>
    </row>
    <row r="86" spans="1:166" ht="31.25" x14ac:dyDescent="0.3">
      <c r="A86" s="8" t="s">
        <v>86</v>
      </c>
      <c r="B86" s="58" t="s">
        <v>4</v>
      </c>
      <c r="C86" s="58">
        <v>13</v>
      </c>
      <c r="D86" s="58" t="s">
        <v>104</v>
      </c>
      <c r="E86" s="58">
        <v>200</v>
      </c>
      <c r="F86" s="40">
        <v>48.8</v>
      </c>
      <c r="G86" s="40">
        <v>50.1</v>
      </c>
      <c r="H86" s="40">
        <f>F86</f>
        <v>48.8</v>
      </c>
      <c r="I86" s="40">
        <f>G86</f>
        <v>50.1</v>
      </c>
    </row>
    <row r="87" spans="1:166" ht="68.95" customHeight="1" x14ac:dyDescent="0.3">
      <c r="A87" s="7" t="s">
        <v>170</v>
      </c>
      <c r="B87" s="58" t="s">
        <v>4</v>
      </c>
      <c r="C87" s="58">
        <v>13</v>
      </c>
      <c r="D87" s="58" t="s">
        <v>105</v>
      </c>
      <c r="E87" s="58"/>
      <c r="F87" s="43">
        <f>F89+F88</f>
        <v>378.6</v>
      </c>
      <c r="G87" s="43">
        <f>G89+G88</f>
        <v>378.6</v>
      </c>
      <c r="H87" s="43">
        <f>H89+H88</f>
        <v>378.6</v>
      </c>
      <c r="I87" s="43">
        <f>I89+I88</f>
        <v>378.6</v>
      </c>
    </row>
    <row r="88" spans="1:166" ht="62.5" x14ac:dyDescent="0.3">
      <c r="A88" s="7" t="s">
        <v>34</v>
      </c>
      <c r="B88" s="58" t="s">
        <v>4</v>
      </c>
      <c r="C88" s="58">
        <v>13</v>
      </c>
      <c r="D88" s="58" t="s">
        <v>105</v>
      </c>
      <c r="E88" s="58">
        <v>100</v>
      </c>
      <c r="F88" s="40">
        <v>372.5</v>
      </c>
      <c r="G88" s="40">
        <v>372.5</v>
      </c>
      <c r="H88" s="40">
        <f>F88</f>
        <v>372.5</v>
      </c>
      <c r="I88" s="40">
        <f>G88</f>
        <v>372.5</v>
      </c>
    </row>
    <row r="89" spans="1:166" ht="31.25" x14ac:dyDescent="0.3">
      <c r="A89" s="8" t="s">
        <v>86</v>
      </c>
      <c r="B89" s="58" t="s">
        <v>4</v>
      </c>
      <c r="C89" s="58">
        <v>13</v>
      </c>
      <c r="D89" s="58" t="s">
        <v>105</v>
      </c>
      <c r="E89" s="58">
        <v>200</v>
      </c>
      <c r="F89" s="40">
        <v>6.1</v>
      </c>
      <c r="G89" s="40">
        <v>6.1</v>
      </c>
      <c r="H89" s="40">
        <f>F89</f>
        <v>6.1</v>
      </c>
      <c r="I89" s="40">
        <f>G89</f>
        <v>6.1</v>
      </c>
    </row>
    <row r="90" spans="1:166" ht="31.25" x14ac:dyDescent="0.3">
      <c r="A90" s="7" t="s">
        <v>11</v>
      </c>
      <c r="B90" s="58" t="s">
        <v>4</v>
      </c>
      <c r="C90" s="58">
        <v>13</v>
      </c>
      <c r="D90" s="58" t="s">
        <v>106</v>
      </c>
      <c r="E90" s="58"/>
      <c r="F90" s="43">
        <f>F91</f>
        <v>157.5</v>
      </c>
      <c r="G90" s="43">
        <f>G91</f>
        <v>157.5</v>
      </c>
      <c r="H90" s="43">
        <f>H91</f>
        <v>157.5</v>
      </c>
      <c r="I90" s="43">
        <f>I91</f>
        <v>157.5</v>
      </c>
    </row>
    <row r="91" spans="1:166" ht="31.25" x14ac:dyDescent="0.3">
      <c r="A91" s="8" t="s">
        <v>86</v>
      </c>
      <c r="B91" s="58" t="s">
        <v>4</v>
      </c>
      <c r="C91" s="58">
        <v>13</v>
      </c>
      <c r="D91" s="58" t="s">
        <v>106</v>
      </c>
      <c r="E91" s="58">
        <v>200</v>
      </c>
      <c r="F91" s="40">
        <v>157.5</v>
      </c>
      <c r="G91" s="40">
        <v>157.5</v>
      </c>
      <c r="H91" s="40">
        <f>F91</f>
        <v>157.5</v>
      </c>
      <c r="I91" s="40">
        <f>G91</f>
        <v>157.5</v>
      </c>
    </row>
    <row r="92" spans="1:166" ht="62.5" x14ac:dyDescent="0.3">
      <c r="A92" s="7" t="s">
        <v>171</v>
      </c>
      <c r="B92" s="58" t="s">
        <v>4</v>
      </c>
      <c r="C92" s="58">
        <v>13</v>
      </c>
      <c r="D92" s="58" t="s">
        <v>107</v>
      </c>
      <c r="E92" s="58"/>
      <c r="F92" s="40">
        <f>F93</f>
        <v>0.53</v>
      </c>
      <c r="G92" s="40">
        <f>G93</f>
        <v>0.53</v>
      </c>
      <c r="H92" s="40">
        <f>H93</f>
        <v>0.53</v>
      </c>
      <c r="I92" s="40">
        <f>I93</f>
        <v>0.53</v>
      </c>
    </row>
    <row r="93" spans="1:166" ht="62.5" x14ac:dyDescent="0.3">
      <c r="A93" s="7" t="s">
        <v>34</v>
      </c>
      <c r="B93" s="58" t="s">
        <v>4</v>
      </c>
      <c r="C93" s="58">
        <v>13</v>
      </c>
      <c r="D93" s="58" t="s">
        <v>107</v>
      </c>
      <c r="E93" s="58">
        <v>100</v>
      </c>
      <c r="F93" s="40">
        <v>0.53</v>
      </c>
      <c r="G93" s="40">
        <v>0.53</v>
      </c>
      <c r="H93" s="40">
        <f>F93</f>
        <v>0.53</v>
      </c>
      <c r="I93" s="40">
        <f>G93</f>
        <v>0.53</v>
      </c>
    </row>
    <row r="94" spans="1:166" ht="47.55" x14ac:dyDescent="0.3">
      <c r="A94" s="11" t="s">
        <v>172</v>
      </c>
      <c r="B94" s="58" t="s">
        <v>4</v>
      </c>
      <c r="C94" s="58">
        <v>13</v>
      </c>
      <c r="D94" s="58" t="s">
        <v>108</v>
      </c>
      <c r="E94" s="58"/>
      <c r="F94" s="40">
        <f>F95</f>
        <v>25.5</v>
      </c>
      <c r="G94" s="40">
        <f>G95</f>
        <v>25.5</v>
      </c>
      <c r="H94" s="40">
        <f>H95</f>
        <v>25.5</v>
      </c>
      <c r="I94" s="40">
        <f>I95</f>
        <v>25.5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s="1" customFormat="1" ht="62.5" x14ac:dyDescent="0.3">
      <c r="A95" s="7" t="s">
        <v>34</v>
      </c>
      <c r="B95" s="58" t="s">
        <v>4</v>
      </c>
      <c r="C95" s="58">
        <v>13</v>
      </c>
      <c r="D95" s="58" t="s">
        <v>108</v>
      </c>
      <c r="E95" s="58">
        <v>100</v>
      </c>
      <c r="F95" s="40">
        <v>25.5</v>
      </c>
      <c r="G95" s="40">
        <v>25.5</v>
      </c>
      <c r="H95" s="40">
        <f>F95</f>
        <v>25.5</v>
      </c>
      <c r="I95" s="40">
        <f>G95</f>
        <v>25.5</v>
      </c>
    </row>
    <row r="96" spans="1:166" ht="75.099999999999994" customHeight="1" x14ac:dyDescent="0.3">
      <c r="A96" s="8" t="s">
        <v>397</v>
      </c>
      <c r="B96" s="61" t="s">
        <v>4</v>
      </c>
      <c r="C96" s="61">
        <v>13</v>
      </c>
      <c r="D96" s="62" t="s">
        <v>109</v>
      </c>
      <c r="E96" s="62"/>
      <c r="F96" s="42">
        <f>F97</f>
        <v>3925.1</v>
      </c>
      <c r="G96" s="42">
        <f>G97</f>
        <v>3935.7</v>
      </c>
      <c r="H96" s="42">
        <f>H97</f>
        <v>3925.1</v>
      </c>
      <c r="I96" s="42">
        <f>I97</f>
        <v>3935.7</v>
      </c>
    </row>
    <row r="97" spans="1:9" s="1" customFormat="1" ht="31.25" x14ac:dyDescent="0.3">
      <c r="A97" s="8" t="s">
        <v>37</v>
      </c>
      <c r="B97" s="61" t="s">
        <v>4</v>
      </c>
      <c r="C97" s="61">
        <v>13</v>
      </c>
      <c r="D97" s="62" t="s">
        <v>109</v>
      </c>
      <c r="E97" s="62" t="s">
        <v>68</v>
      </c>
      <c r="F97" s="42">
        <v>3925.1</v>
      </c>
      <c r="G97" s="42">
        <v>3935.7</v>
      </c>
      <c r="H97" s="42">
        <f>F97</f>
        <v>3925.1</v>
      </c>
      <c r="I97" s="42">
        <f>G97</f>
        <v>3935.7</v>
      </c>
    </row>
    <row r="98" spans="1:9" ht="46.9" x14ac:dyDescent="0.3">
      <c r="A98" s="7" t="s">
        <v>70</v>
      </c>
      <c r="B98" s="58" t="s">
        <v>4</v>
      </c>
      <c r="C98" s="58">
        <v>13</v>
      </c>
      <c r="D98" s="60" t="s">
        <v>245</v>
      </c>
      <c r="E98" s="58"/>
      <c r="F98" s="40">
        <f>F99+F100</f>
        <v>1097.5999999999999</v>
      </c>
      <c r="G98" s="40">
        <f>G99+G100</f>
        <v>1107.5</v>
      </c>
      <c r="H98" s="40">
        <f>H99+H100</f>
        <v>1070.2</v>
      </c>
      <c r="I98" s="40">
        <f>I99+I100</f>
        <v>1052.0999999999999</v>
      </c>
    </row>
    <row r="99" spans="1:9" ht="62.5" x14ac:dyDescent="0.3">
      <c r="A99" s="7" t="s">
        <v>34</v>
      </c>
      <c r="B99" s="58" t="s">
        <v>4</v>
      </c>
      <c r="C99" s="58">
        <v>13</v>
      </c>
      <c r="D99" s="60" t="s">
        <v>245</v>
      </c>
      <c r="E99" s="58">
        <v>100</v>
      </c>
      <c r="F99" s="40">
        <f>830+1</f>
        <v>831</v>
      </c>
      <c r="G99" s="40">
        <f>830+1</f>
        <v>831</v>
      </c>
      <c r="H99" s="41">
        <f>F99</f>
        <v>831</v>
      </c>
      <c r="I99" s="41">
        <f>G99</f>
        <v>831</v>
      </c>
    </row>
    <row r="100" spans="1:9" ht="31.25" x14ac:dyDescent="0.3">
      <c r="A100" s="8" t="s">
        <v>86</v>
      </c>
      <c r="B100" s="58" t="s">
        <v>4</v>
      </c>
      <c r="C100" s="58">
        <v>13</v>
      </c>
      <c r="D100" s="60" t="s">
        <v>245</v>
      </c>
      <c r="E100" s="58">
        <v>200</v>
      </c>
      <c r="F100" s="40">
        <v>266.60000000000002</v>
      </c>
      <c r="G100" s="40">
        <v>276.5</v>
      </c>
      <c r="H100" s="41">
        <f>ROUND(F100*0.975-H99*0.025,1)</f>
        <v>239.2</v>
      </c>
      <c r="I100" s="41">
        <f>ROUND(G100*0.95-I99*0.05,1)</f>
        <v>221.1</v>
      </c>
    </row>
    <row r="101" spans="1:9" s="1" customFormat="1" ht="31.25" x14ac:dyDescent="0.3">
      <c r="A101" s="7" t="s">
        <v>173</v>
      </c>
      <c r="B101" s="60" t="s">
        <v>4</v>
      </c>
      <c r="C101" s="58">
        <v>13</v>
      </c>
      <c r="D101" s="60" t="s">
        <v>162</v>
      </c>
      <c r="E101" s="60"/>
      <c r="F101" s="40">
        <f>F102+F103+F104</f>
        <v>3158.2</v>
      </c>
      <c r="G101" s="40">
        <f>G102+G103+G104</f>
        <v>3282</v>
      </c>
      <c r="H101" s="40">
        <f>H102+H103+H104</f>
        <v>3158.2</v>
      </c>
      <c r="I101" s="40">
        <f>I102+I103+I104</f>
        <v>3282</v>
      </c>
    </row>
    <row r="102" spans="1:9" s="1" customFormat="1" ht="62.5" x14ac:dyDescent="0.3">
      <c r="A102" s="7" t="s">
        <v>34</v>
      </c>
      <c r="B102" s="60" t="s">
        <v>4</v>
      </c>
      <c r="C102" s="58">
        <v>13</v>
      </c>
      <c r="D102" s="60" t="s">
        <v>162</v>
      </c>
      <c r="E102" s="60" t="s">
        <v>51</v>
      </c>
      <c r="F102" s="40">
        <v>1633</v>
      </c>
      <c r="G102" s="40">
        <v>1633</v>
      </c>
      <c r="H102" s="40">
        <f t="shared" ref="H102:I104" si="9">F102</f>
        <v>1633</v>
      </c>
      <c r="I102" s="40">
        <f t="shared" si="9"/>
        <v>1633</v>
      </c>
    </row>
    <row r="103" spans="1:9" s="1" customFormat="1" ht="31.25" x14ac:dyDescent="0.3">
      <c r="A103" s="15" t="s">
        <v>86</v>
      </c>
      <c r="B103" s="60" t="s">
        <v>4</v>
      </c>
      <c r="C103" s="58">
        <v>13</v>
      </c>
      <c r="D103" s="60" t="s">
        <v>162</v>
      </c>
      <c r="E103" s="60" t="s">
        <v>67</v>
      </c>
      <c r="F103" s="40">
        <v>1520.2</v>
      </c>
      <c r="G103" s="40">
        <v>1644</v>
      </c>
      <c r="H103" s="40">
        <f t="shared" si="9"/>
        <v>1520.2</v>
      </c>
      <c r="I103" s="40">
        <f t="shared" si="9"/>
        <v>1644</v>
      </c>
    </row>
    <row r="104" spans="1:9" s="1" customFormat="1" ht="18.350000000000001" x14ac:dyDescent="0.3">
      <c r="A104" s="7" t="s">
        <v>38</v>
      </c>
      <c r="B104" s="63" t="s">
        <v>4</v>
      </c>
      <c r="C104" s="63">
        <v>13</v>
      </c>
      <c r="D104" s="58" t="s">
        <v>162</v>
      </c>
      <c r="E104" s="58">
        <v>500</v>
      </c>
      <c r="F104" s="40">
        <v>5</v>
      </c>
      <c r="G104" s="40">
        <v>5</v>
      </c>
      <c r="H104" s="40">
        <f t="shared" si="9"/>
        <v>5</v>
      </c>
      <c r="I104" s="40">
        <f t="shared" si="9"/>
        <v>5</v>
      </c>
    </row>
    <row r="105" spans="1:9" s="18" customFormat="1" ht="18.350000000000001" x14ac:dyDescent="0.3">
      <c r="A105" s="17" t="s">
        <v>189</v>
      </c>
      <c r="B105" s="58" t="s">
        <v>4</v>
      </c>
      <c r="C105" s="58">
        <v>13</v>
      </c>
      <c r="D105" s="58" t="s">
        <v>190</v>
      </c>
      <c r="E105" s="58"/>
      <c r="F105" s="40">
        <f>F106</f>
        <v>235</v>
      </c>
      <c r="G105" s="40">
        <f>G106</f>
        <v>235</v>
      </c>
      <c r="H105" s="40">
        <f>H106</f>
        <v>229.1</v>
      </c>
      <c r="I105" s="40">
        <f>I106</f>
        <v>223.3</v>
      </c>
    </row>
    <row r="106" spans="1:9" s="18" customFormat="1" ht="31.25" x14ac:dyDescent="0.3">
      <c r="A106" s="15" t="s">
        <v>86</v>
      </c>
      <c r="B106" s="58" t="s">
        <v>4</v>
      </c>
      <c r="C106" s="58">
        <v>13</v>
      </c>
      <c r="D106" s="58" t="s">
        <v>190</v>
      </c>
      <c r="E106" s="58">
        <v>200</v>
      </c>
      <c r="F106" s="40">
        <f>30+22.5+103.6+22+11.2+2.3+30.4+13</f>
        <v>235</v>
      </c>
      <c r="G106" s="40">
        <f>30+22.5+103.6+22+11.2+2.3+30.4+13</f>
        <v>235</v>
      </c>
      <c r="H106" s="41">
        <f>ROUND(F106*0.975,1)</f>
        <v>229.1</v>
      </c>
      <c r="I106" s="41">
        <f>ROUND(G106*0.95,1)</f>
        <v>223.3</v>
      </c>
    </row>
    <row r="107" spans="1:9" s="18" customFormat="1" ht="18.350000000000001" x14ac:dyDescent="0.3">
      <c r="A107" s="15" t="s">
        <v>350</v>
      </c>
      <c r="B107" s="58" t="s">
        <v>4</v>
      </c>
      <c r="C107" s="58">
        <v>13</v>
      </c>
      <c r="D107" s="58" t="s">
        <v>351</v>
      </c>
      <c r="E107" s="58"/>
      <c r="F107" s="40">
        <f>F108</f>
        <v>4600</v>
      </c>
      <c r="G107" s="40">
        <f>F107</f>
        <v>4600</v>
      </c>
      <c r="H107" s="40">
        <f>G107</f>
        <v>4600</v>
      </c>
      <c r="I107" s="40">
        <f>H107</f>
        <v>4600</v>
      </c>
    </row>
    <row r="108" spans="1:9" s="18" customFormat="1" ht="62.5" x14ac:dyDescent="0.3">
      <c r="A108" s="7" t="s">
        <v>34</v>
      </c>
      <c r="B108" s="58" t="s">
        <v>4</v>
      </c>
      <c r="C108" s="58">
        <v>13</v>
      </c>
      <c r="D108" s="58" t="s">
        <v>351</v>
      </c>
      <c r="E108" s="58">
        <v>100</v>
      </c>
      <c r="F108" s="40">
        <f>4100+500</f>
        <v>4600</v>
      </c>
      <c r="G108" s="40">
        <f>4100+500</f>
        <v>4600</v>
      </c>
      <c r="H108" s="41">
        <f>F108</f>
        <v>4600</v>
      </c>
      <c r="I108" s="41">
        <f>G108</f>
        <v>4600</v>
      </c>
    </row>
    <row r="109" spans="1:9" s="4" customFormat="1" ht="31.25" x14ac:dyDescent="0.3">
      <c r="A109" s="15" t="s">
        <v>87</v>
      </c>
      <c r="B109" s="60" t="s">
        <v>4</v>
      </c>
      <c r="C109" s="58">
        <v>13</v>
      </c>
      <c r="D109" s="60" t="s">
        <v>110</v>
      </c>
      <c r="E109" s="60"/>
      <c r="F109" s="40">
        <f>F110</f>
        <v>700</v>
      </c>
      <c r="G109" s="40">
        <f>G110</f>
        <v>500</v>
      </c>
      <c r="H109" s="40">
        <f>H110</f>
        <v>682.5</v>
      </c>
      <c r="I109" s="40">
        <f>I110</f>
        <v>475</v>
      </c>
    </row>
    <row r="110" spans="1:9" s="4" customFormat="1" ht="18.350000000000001" x14ac:dyDescent="0.3">
      <c r="A110" s="7" t="s">
        <v>36</v>
      </c>
      <c r="B110" s="60" t="s">
        <v>4</v>
      </c>
      <c r="C110" s="58">
        <v>13</v>
      </c>
      <c r="D110" s="60" t="s">
        <v>110</v>
      </c>
      <c r="E110" s="60" t="s">
        <v>46</v>
      </c>
      <c r="F110" s="40">
        <f>500+200</f>
        <v>700</v>
      </c>
      <c r="G110" s="40">
        <f>500</f>
        <v>500</v>
      </c>
      <c r="H110" s="41">
        <f>ROUND(F110*0.975,1)</f>
        <v>682.5</v>
      </c>
      <c r="I110" s="41">
        <f>ROUND(G110*0.95,1)</f>
        <v>475</v>
      </c>
    </row>
    <row r="111" spans="1:9" ht="18.350000000000001" x14ac:dyDescent="0.3">
      <c r="A111" s="30" t="s">
        <v>147</v>
      </c>
      <c r="B111" s="53" t="s">
        <v>5</v>
      </c>
      <c r="C111" s="54"/>
      <c r="D111" s="55"/>
      <c r="E111" s="56"/>
      <c r="F111" s="39">
        <f>F112</f>
        <v>1771.1</v>
      </c>
      <c r="G111" s="39">
        <f>G112</f>
        <v>1834.3</v>
      </c>
      <c r="H111" s="39">
        <f>H112</f>
        <v>1771.1</v>
      </c>
      <c r="I111" s="39">
        <f>I112</f>
        <v>1834.3</v>
      </c>
    </row>
    <row r="112" spans="1:9" s="1" customFormat="1" ht="18.350000000000001" x14ac:dyDescent="0.3">
      <c r="A112" s="7" t="s">
        <v>18</v>
      </c>
      <c r="B112" s="60" t="s">
        <v>5</v>
      </c>
      <c r="C112" s="60" t="s">
        <v>7</v>
      </c>
      <c r="D112" s="60"/>
      <c r="E112" s="60"/>
      <c r="F112" s="40">
        <f>F114</f>
        <v>1771.1</v>
      </c>
      <c r="G112" s="40">
        <f>G114</f>
        <v>1834.3</v>
      </c>
      <c r="H112" s="40">
        <f>H114</f>
        <v>1771.1</v>
      </c>
      <c r="I112" s="40">
        <f>I114</f>
        <v>1834.3</v>
      </c>
    </row>
    <row r="113" spans="1:213" s="1" customFormat="1" ht="18.350000000000001" x14ac:dyDescent="0.3">
      <c r="A113" s="7" t="s">
        <v>72</v>
      </c>
      <c r="B113" s="60" t="s">
        <v>5</v>
      </c>
      <c r="C113" s="60" t="s">
        <v>7</v>
      </c>
      <c r="D113" s="60" t="s">
        <v>96</v>
      </c>
      <c r="E113" s="60"/>
      <c r="F113" s="40">
        <f t="shared" ref="F113:I114" si="10">F114</f>
        <v>1771.1</v>
      </c>
      <c r="G113" s="40">
        <f t="shared" si="10"/>
        <v>1834.3</v>
      </c>
      <c r="H113" s="40">
        <f t="shared" si="10"/>
        <v>1771.1</v>
      </c>
      <c r="I113" s="40">
        <f t="shared" si="10"/>
        <v>1834.3</v>
      </c>
    </row>
    <row r="114" spans="1:213" s="1" customFormat="1" ht="105.8" customHeight="1" x14ac:dyDescent="0.3">
      <c r="A114" s="7" t="s">
        <v>398</v>
      </c>
      <c r="B114" s="60" t="s">
        <v>5</v>
      </c>
      <c r="C114" s="60" t="s">
        <v>7</v>
      </c>
      <c r="D114" s="58" t="s">
        <v>111</v>
      </c>
      <c r="E114" s="60"/>
      <c r="F114" s="40">
        <f t="shared" si="10"/>
        <v>1771.1</v>
      </c>
      <c r="G114" s="40">
        <f t="shared" si="10"/>
        <v>1834.3</v>
      </c>
      <c r="H114" s="40">
        <f t="shared" si="10"/>
        <v>1771.1</v>
      </c>
      <c r="I114" s="40">
        <f t="shared" si="10"/>
        <v>1834.3</v>
      </c>
    </row>
    <row r="115" spans="1:213" s="1" customFormat="1" ht="18.350000000000001" x14ac:dyDescent="0.3">
      <c r="A115" s="7" t="s">
        <v>38</v>
      </c>
      <c r="B115" s="60" t="s">
        <v>5</v>
      </c>
      <c r="C115" s="60" t="s">
        <v>7</v>
      </c>
      <c r="D115" s="58" t="s">
        <v>111</v>
      </c>
      <c r="E115" s="60" t="s">
        <v>9</v>
      </c>
      <c r="F115" s="40">
        <v>1771.1</v>
      </c>
      <c r="G115" s="40">
        <v>1834.3</v>
      </c>
      <c r="H115" s="40">
        <f>F115</f>
        <v>1771.1</v>
      </c>
      <c r="I115" s="40">
        <f>G115</f>
        <v>1834.3</v>
      </c>
    </row>
    <row r="116" spans="1:213" ht="31.25" x14ac:dyDescent="0.3">
      <c r="A116" s="30" t="s">
        <v>148</v>
      </c>
      <c r="B116" s="53">
        <v>3</v>
      </c>
      <c r="C116" s="53"/>
      <c r="D116" s="64"/>
      <c r="E116" s="65"/>
      <c r="F116" s="44">
        <f>F117+F124</f>
        <v>7581.8</v>
      </c>
      <c r="G116" s="44">
        <f>G117+G124</f>
        <v>7581.8</v>
      </c>
      <c r="H116" s="44">
        <f>H117+H124</f>
        <v>7392.3</v>
      </c>
      <c r="I116" s="44">
        <f>I117+I124</f>
        <v>7202.7</v>
      </c>
    </row>
    <row r="117" spans="1:213" ht="31.25" x14ac:dyDescent="0.3">
      <c r="A117" s="7" t="s">
        <v>25</v>
      </c>
      <c r="B117" s="60" t="s">
        <v>7</v>
      </c>
      <c r="C117" s="60" t="s">
        <v>32</v>
      </c>
      <c r="D117" s="60"/>
      <c r="E117" s="58"/>
      <c r="F117" s="40">
        <f>F118</f>
        <v>2057.3000000000002</v>
      </c>
      <c r="G117" s="40">
        <f>G118</f>
        <v>2057.3000000000002</v>
      </c>
      <c r="H117" s="40">
        <f>H118</f>
        <v>1867.8000000000002</v>
      </c>
      <c r="I117" s="40">
        <f>I118</f>
        <v>1678.2</v>
      </c>
    </row>
    <row r="118" spans="1:213" ht="18.350000000000001" x14ac:dyDescent="0.3">
      <c r="A118" s="7" t="s">
        <v>72</v>
      </c>
      <c r="B118" s="60" t="s">
        <v>7</v>
      </c>
      <c r="C118" s="60" t="s">
        <v>32</v>
      </c>
      <c r="D118" s="60" t="s">
        <v>96</v>
      </c>
      <c r="E118" s="58"/>
      <c r="F118" s="40">
        <f>F119+F122</f>
        <v>2057.3000000000002</v>
      </c>
      <c r="G118" s="40">
        <f>G119+G122</f>
        <v>2057.3000000000002</v>
      </c>
      <c r="H118" s="40">
        <f>H119+H122</f>
        <v>1867.8000000000002</v>
      </c>
      <c r="I118" s="40">
        <f>I119+I122</f>
        <v>1678.2</v>
      </c>
    </row>
    <row r="119" spans="1:213" ht="31.25" x14ac:dyDescent="0.3">
      <c r="A119" s="7" t="s">
        <v>20</v>
      </c>
      <c r="B119" s="60" t="s">
        <v>7</v>
      </c>
      <c r="C119" s="60" t="s">
        <v>32</v>
      </c>
      <c r="D119" s="60" t="s">
        <v>112</v>
      </c>
      <c r="E119" s="60"/>
      <c r="F119" s="40">
        <f>F121+F120</f>
        <v>1565.5</v>
      </c>
      <c r="G119" s="40">
        <f>G121+G120</f>
        <v>1565.5</v>
      </c>
      <c r="H119" s="40">
        <f>H121+H120</f>
        <v>1565.2</v>
      </c>
      <c r="I119" s="40">
        <f>I121+I120</f>
        <v>1564.9</v>
      </c>
    </row>
    <row r="120" spans="1:213" ht="62.5" x14ac:dyDescent="0.3">
      <c r="A120" s="7" t="s">
        <v>34</v>
      </c>
      <c r="B120" s="60" t="s">
        <v>7</v>
      </c>
      <c r="C120" s="60" t="s">
        <v>32</v>
      </c>
      <c r="D120" s="60" t="s">
        <v>112</v>
      </c>
      <c r="E120" s="58">
        <v>100</v>
      </c>
      <c r="F120" s="40">
        <v>1553.5</v>
      </c>
      <c r="G120" s="40">
        <v>1553.5</v>
      </c>
      <c r="H120" s="41">
        <f>F120</f>
        <v>1553.5</v>
      </c>
      <c r="I120" s="41">
        <f>G120</f>
        <v>1553.5</v>
      </c>
    </row>
    <row r="121" spans="1:213" ht="31.25" x14ac:dyDescent="0.3">
      <c r="A121" s="8" t="s">
        <v>86</v>
      </c>
      <c r="B121" s="60" t="s">
        <v>7</v>
      </c>
      <c r="C121" s="60" t="s">
        <v>32</v>
      </c>
      <c r="D121" s="60" t="s">
        <v>112</v>
      </c>
      <c r="E121" s="58">
        <v>200</v>
      </c>
      <c r="F121" s="40">
        <v>12</v>
      </c>
      <c r="G121" s="40">
        <v>12</v>
      </c>
      <c r="H121" s="41">
        <f>ROUND(F121*0.975,1)</f>
        <v>11.7</v>
      </c>
      <c r="I121" s="41">
        <f>ROUND(G121*0.95,1)</f>
        <v>11.4</v>
      </c>
    </row>
    <row r="122" spans="1:213" ht="18.350000000000001" x14ac:dyDescent="0.3">
      <c r="A122" s="7" t="s">
        <v>199</v>
      </c>
      <c r="B122" s="60" t="s">
        <v>7</v>
      </c>
      <c r="C122" s="60" t="s">
        <v>32</v>
      </c>
      <c r="D122" s="60" t="s">
        <v>198</v>
      </c>
      <c r="E122" s="60"/>
      <c r="F122" s="40">
        <f>F123</f>
        <v>491.8</v>
      </c>
      <c r="G122" s="45">
        <f>G123</f>
        <v>491.8</v>
      </c>
      <c r="H122" s="45">
        <f>H123</f>
        <v>302.60000000000002</v>
      </c>
      <c r="I122" s="45">
        <f>I123</f>
        <v>113.3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</row>
    <row r="123" spans="1:213" ht="32.299999999999997" customHeight="1" x14ac:dyDescent="0.3">
      <c r="A123" s="8" t="s">
        <v>86</v>
      </c>
      <c r="B123" s="60" t="s">
        <v>7</v>
      </c>
      <c r="C123" s="60" t="s">
        <v>32</v>
      </c>
      <c r="D123" s="60" t="s">
        <v>198</v>
      </c>
      <c r="E123" s="58">
        <v>200</v>
      </c>
      <c r="F123" s="40">
        <f>464.8+27</f>
        <v>491.8</v>
      </c>
      <c r="G123" s="45">
        <f>464.8+27</f>
        <v>491.8</v>
      </c>
      <c r="H123" s="46">
        <f>ROUND(F123*0.975-(H120+H128)*0.025,1)</f>
        <v>302.60000000000002</v>
      </c>
      <c r="I123" s="46">
        <f>ROUND(G123*0.95-(I120+I128)*0.05,1)</f>
        <v>113.3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</row>
    <row r="124" spans="1:213" ht="31.25" x14ac:dyDescent="0.3">
      <c r="A124" s="7" t="s">
        <v>66</v>
      </c>
      <c r="B124" s="60" t="s">
        <v>7</v>
      </c>
      <c r="C124" s="60" t="s">
        <v>50</v>
      </c>
      <c r="D124" s="60"/>
      <c r="E124" s="60"/>
      <c r="F124" s="40">
        <f>F125</f>
        <v>5524.5</v>
      </c>
      <c r="G124" s="40">
        <f>G125</f>
        <v>5524.5</v>
      </c>
      <c r="H124" s="40">
        <f>H125</f>
        <v>5524.5</v>
      </c>
      <c r="I124" s="40">
        <f>I125</f>
        <v>5524.5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213" ht="46.9" x14ac:dyDescent="0.3">
      <c r="A125" s="8" t="s">
        <v>381</v>
      </c>
      <c r="B125" s="60" t="s">
        <v>7</v>
      </c>
      <c r="C125" s="60" t="s">
        <v>50</v>
      </c>
      <c r="D125" s="60" t="s">
        <v>246</v>
      </c>
      <c r="E125" s="60"/>
      <c r="F125" s="40">
        <f>F126</f>
        <v>5524.5</v>
      </c>
      <c r="G125" s="40">
        <f t="shared" ref="G125:I126" si="11">G126</f>
        <v>5524.5</v>
      </c>
      <c r="H125" s="40">
        <f t="shared" si="11"/>
        <v>5524.5</v>
      </c>
      <c r="I125" s="40">
        <f t="shared" si="11"/>
        <v>5524.5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213" ht="31.95" x14ac:dyDescent="0.3">
      <c r="A126" s="28" t="s">
        <v>247</v>
      </c>
      <c r="B126" s="60" t="s">
        <v>7</v>
      </c>
      <c r="C126" s="60" t="s">
        <v>50</v>
      </c>
      <c r="D126" s="60" t="s">
        <v>248</v>
      </c>
      <c r="E126" s="60"/>
      <c r="F126" s="40">
        <f>F127</f>
        <v>5524.5</v>
      </c>
      <c r="G126" s="40">
        <f t="shared" si="11"/>
        <v>5524.5</v>
      </c>
      <c r="H126" s="40">
        <f t="shared" si="11"/>
        <v>5524.5</v>
      </c>
      <c r="I126" s="40">
        <f t="shared" si="11"/>
        <v>5524.5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213" ht="18.350000000000001" x14ac:dyDescent="0.3">
      <c r="A127" s="28" t="s">
        <v>249</v>
      </c>
      <c r="B127" s="60" t="s">
        <v>7</v>
      </c>
      <c r="C127" s="60" t="s">
        <v>50</v>
      </c>
      <c r="D127" s="62" t="s">
        <v>113</v>
      </c>
      <c r="E127" s="60"/>
      <c r="F127" s="40">
        <f>F128</f>
        <v>5524.5</v>
      </c>
      <c r="G127" s="40">
        <f>G128</f>
        <v>5524.5</v>
      </c>
      <c r="H127" s="40">
        <f>H128</f>
        <v>5524.5</v>
      </c>
      <c r="I127" s="40">
        <f>I128</f>
        <v>5524.5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213" ht="62.5" x14ac:dyDescent="0.3">
      <c r="A128" s="7" t="s">
        <v>34</v>
      </c>
      <c r="B128" s="60" t="s">
        <v>7</v>
      </c>
      <c r="C128" s="60" t="s">
        <v>50</v>
      </c>
      <c r="D128" s="62" t="s">
        <v>113</v>
      </c>
      <c r="E128" s="60" t="s">
        <v>51</v>
      </c>
      <c r="F128" s="40">
        <v>5524.5</v>
      </c>
      <c r="G128" s="40">
        <v>5524.5</v>
      </c>
      <c r="H128" s="41">
        <f>F128</f>
        <v>5524.5</v>
      </c>
      <c r="I128" s="41">
        <f>G128</f>
        <v>5524.5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9" ht="18.350000000000001" x14ac:dyDescent="0.3">
      <c r="A129" s="30" t="s">
        <v>149</v>
      </c>
      <c r="B129" s="53">
        <v>4</v>
      </c>
      <c r="C129" s="54"/>
      <c r="D129" s="55"/>
      <c r="E129" s="56"/>
      <c r="F129" s="39">
        <f>F130+F138+F142</f>
        <v>33923.199999999997</v>
      </c>
      <c r="G129" s="39">
        <f>G130+G138+G142</f>
        <v>34023.199999999997</v>
      </c>
      <c r="H129" s="39">
        <f>H130+H138+H142</f>
        <v>29879.8</v>
      </c>
      <c r="I129" s="39">
        <f>I130+I138+I142</f>
        <v>25904.6</v>
      </c>
    </row>
    <row r="130" spans="1:9" ht="18.350000000000001" x14ac:dyDescent="0.3">
      <c r="A130" s="7" t="s">
        <v>174</v>
      </c>
      <c r="B130" s="60" t="s">
        <v>29</v>
      </c>
      <c r="C130" s="60" t="s">
        <v>12</v>
      </c>
      <c r="D130" s="55"/>
      <c r="E130" s="56"/>
      <c r="F130" s="43">
        <f t="shared" ref="F130:I132" si="12">F131</f>
        <v>2141.3000000000002</v>
      </c>
      <c r="G130" s="43">
        <f t="shared" si="12"/>
        <v>2141.3000000000002</v>
      </c>
      <c r="H130" s="43">
        <f t="shared" si="12"/>
        <v>2141.3000000000002</v>
      </c>
      <c r="I130" s="43">
        <f t="shared" si="12"/>
        <v>2141.3000000000002</v>
      </c>
    </row>
    <row r="131" spans="1:9" ht="53.35" customHeight="1" x14ac:dyDescent="0.3">
      <c r="A131" s="29" t="s">
        <v>250</v>
      </c>
      <c r="B131" s="60" t="s">
        <v>29</v>
      </c>
      <c r="C131" s="60" t="s">
        <v>12</v>
      </c>
      <c r="D131" s="60" t="s">
        <v>251</v>
      </c>
      <c r="E131" s="56"/>
      <c r="F131" s="43">
        <f t="shared" si="12"/>
        <v>2141.3000000000002</v>
      </c>
      <c r="G131" s="43">
        <f t="shared" si="12"/>
        <v>2141.3000000000002</v>
      </c>
      <c r="H131" s="43">
        <f t="shared" si="12"/>
        <v>2141.3000000000002</v>
      </c>
      <c r="I131" s="43">
        <f t="shared" si="12"/>
        <v>2141.3000000000002</v>
      </c>
    </row>
    <row r="132" spans="1:9" ht="31.95" x14ac:dyDescent="0.3">
      <c r="A132" s="29" t="s">
        <v>252</v>
      </c>
      <c r="B132" s="60" t="s">
        <v>29</v>
      </c>
      <c r="C132" s="60" t="s">
        <v>12</v>
      </c>
      <c r="D132" s="60" t="s">
        <v>253</v>
      </c>
      <c r="E132" s="56"/>
      <c r="F132" s="43">
        <f t="shared" si="12"/>
        <v>2141.3000000000002</v>
      </c>
      <c r="G132" s="43">
        <f t="shared" si="12"/>
        <v>2141.3000000000002</v>
      </c>
      <c r="H132" s="43">
        <f t="shared" si="12"/>
        <v>2141.3000000000002</v>
      </c>
      <c r="I132" s="43">
        <f t="shared" si="12"/>
        <v>2141.3000000000002</v>
      </c>
    </row>
    <row r="133" spans="1:9" ht="47.55" x14ac:dyDescent="0.3">
      <c r="A133" s="29" t="s">
        <v>254</v>
      </c>
      <c r="B133" s="60" t="s">
        <v>29</v>
      </c>
      <c r="C133" s="60" t="s">
        <v>12</v>
      </c>
      <c r="D133" s="60" t="s">
        <v>255</v>
      </c>
      <c r="E133" s="56"/>
      <c r="F133" s="43">
        <f>F134+F136</f>
        <v>2141.3000000000002</v>
      </c>
      <c r="G133" s="43">
        <f>G134+G136</f>
        <v>2141.3000000000002</v>
      </c>
      <c r="H133" s="43">
        <f>H134+H136</f>
        <v>2141.3000000000002</v>
      </c>
      <c r="I133" s="43">
        <f>I134+I136</f>
        <v>2141.3000000000002</v>
      </c>
    </row>
    <row r="134" spans="1:9" ht="93.75" x14ac:dyDescent="0.3">
      <c r="A134" s="7" t="s">
        <v>175</v>
      </c>
      <c r="B134" s="60" t="s">
        <v>29</v>
      </c>
      <c r="C134" s="60" t="s">
        <v>12</v>
      </c>
      <c r="D134" s="60" t="s">
        <v>114</v>
      </c>
      <c r="E134" s="60"/>
      <c r="F134" s="40">
        <f>F135</f>
        <v>1094.0999999999999</v>
      </c>
      <c r="G134" s="40">
        <f>G135</f>
        <v>1094.0999999999999</v>
      </c>
      <c r="H134" s="40">
        <f>H135</f>
        <v>1094.0999999999999</v>
      </c>
      <c r="I134" s="40">
        <f>I135</f>
        <v>1094.0999999999999</v>
      </c>
    </row>
    <row r="135" spans="1:9" ht="31.25" x14ac:dyDescent="0.3">
      <c r="A135" s="8" t="s">
        <v>86</v>
      </c>
      <c r="B135" s="60" t="s">
        <v>29</v>
      </c>
      <c r="C135" s="60" t="s">
        <v>12</v>
      </c>
      <c r="D135" s="60" t="s">
        <v>114</v>
      </c>
      <c r="E135" s="58">
        <v>200</v>
      </c>
      <c r="F135" s="40">
        <v>1094.0999999999999</v>
      </c>
      <c r="G135" s="40">
        <v>1094.0999999999999</v>
      </c>
      <c r="H135" s="40">
        <f>F135</f>
        <v>1094.0999999999999</v>
      </c>
      <c r="I135" s="40">
        <f>G135</f>
        <v>1094.0999999999999</v>
      </c>
    </row>
    <row r="136" spans="1:9" ht="109.4" x14ac:dyDescent="0.3">
      <c r="A136" s="8" t="s">
        <v>176</v>
      </c>
      <c r="B136" s="60" t="s">
        <v>29</v>
      </c>
      <c r="C136" s="60" t="s">
        <v>12</v>
      </c>
      <c r="D136" s="60" t="s">
        <v>114</v>
      </c>
      <c r="E136" s="58"/>
      <c r="F136" s="40">
        <f>F137</f>
        <v>1047.2</v>
      </c>
      <c r="G136" s="40">
        <f>G137</f>
        <v>1047.2</v>
      </c>
      <c r="H136" s="41">
        <f>H137</f>
        <v>1047.2</v>
      </c>
      <c r="I136" s="41">
        <f>I137</f>
        <v>1047.2</v>
      </c>
    </row>
    <row r="137" spans="1:9" ht="31.25" x14ac:dyDescent="0.3">
      <c r="A137" s="8" t="s">
        <v>86</v>
      </c>
      <c r="B137" s="60" t="s">
        <v>29</v>
      </c>
      <c r="C137" s="60" t="s">
        <v>12</v>
      </c>
      <c r="D137" s="60" t="s">
        <v>114</v>
      </c>
      <c r="E137" s="58">
        <v>200</v>
      </c>
      <c r="F137" s="40">
        <v>1047.2</v>
      </c>
      <c r="G137" s="40">
        <v>1047.2</v>
      </c>
      <c r="H137" s="40">
        <f>F137</f>
        <v>1047.2</v>
      </c>
      <c r="I137" s="40">
        <f>G137</f>
        <v>1047.2</v>
      </c>
    </row>
    <row r="138" spans="1:9" ht="18.350000000000001" x14ac:dyDescent="0.3">
      <c r="A138" s="7" t="s">
        <v>84</v>
      </c>
      <c r="B138" s="60" t="s">
        <v>29</v>
      </c>
      <c r="C138" s="60" t="s">
        <v>35</v>
      </c>
      <c r="D138" s="60"/>
      <c r="E138" s="60"/>
      <c r="F138" s="40">
        <f t="shared" ref="F138:I140" si="13">F139</f>
        <v>181.9</v>
      </c>
      <c r="G138" s="40">
        <f t="shared" si="13"/>
        <v>181.9</v>
      </c>
      <c r="H138" s="40">
        <f t="shared" si="13"/>
        <v>177.4</v>
      </c>
      <c r="I138" s="40">
        <f t="shared" si="13"/>
        <v>172.8</v>
      </c>
    </row>
    <row r="139" spans="1:9" ht="18.350000000000001" x14ac:dyDescent="0.3">
      <c r="A139" s="7" t="s">
        <v>72</v>
      </c>
      <c r="B139" s="60" t="s">
        <v>29</v>
      </c>
      <c r="C139" s="60" t="s">
        <v>35</v>
      </c>
      <c r="D139" s="60" t="s">
        <v>96</v>
      </c>
      <c r="E139" s="60"/>
      <c r="F139" s="40">
        <f t="shared" si="13"/>
        <v>181.9</v>
      </c>
      <c r="G139" s="40">
        <f t="shared" si="13"/>
        <v>181.9</v>
      </c>
      <c r="H139" s="40">
        <f t="shared" si="13"/>
        <v>177.4</v>
      </c>
      <c r="I139" s="40">
        <f t="shared" si="13"/>
        <v>172.8</v>
      </c>
    </row>
    <row r="140" spans="1:9" ht="46.9" x14ac:dyDescent="0.3">
      <c r="A140" s="7" t="s">
        <v>159</v>
      </c>
      <c r="B140" s="60" t="s">
        <v>29</v>
      </c>
      <c r="C140" s="60" t="s">
        <v>35</v>
      </c>
      <c r="D140" s="60" t="s">
        <v>115</v>
      </c>
      <c r="E140" s="60"/>
      <c r="F140" s="40">
        <f t="shared" si="13"/>
        <v>181.9</v>
      </c>
      <c r="G140" s="40">
        <f t="shared" si="13"/>
        <v>181.9</v>
      </c>
      <c r="H140" s="40">
        <f t="shared" si="13"/>
        <v>177.4</v>
      </c>
      <c r="I140" s="40">
        <f t="shared" si="13"/>
        <v>172.8</v>
      </c>
    </row>
    <row r="141" spans="1:9" s="1" customFormat="1" ht="31.25" x14ac:dyDescent="0.3">
      <c r="A141" s="8" t="s">
        <v>86</v>
      </c>
      <c r="B141" s="60" t="s">
        <v>29</v>
      </c>
      <c r="C141" s="60" t="s">
        <v>35</v>
      </c>
      <c r="D141" s="60" t="s">
        <v>115</v>
      </c>
      <c r="E141" s="60" t="s">
        <v>67</v>
      </c>
      <c r="F141" s="40">
        <v>181.9</v>
      </c>
      <c r="G141" s="40">
        <v>181.9</v>
      </c>
      <c r="H141" s="41">
        <f>ROUND(F141*0.975,1)</f>
        <v>177.4</v>
      </c>
      <c r="I141" s="41">
        <f>ROUND(G141*0.95,1)</f>
        <v>172.8</v>
      </c>
    </row>
    <row r="142" spans="1:9" s="1" customFormat="1" ht="18.350000000000001" x14ac:dyDescent="0.3">
      <c r="A142" s="7" t="s">
        <v>39</v>
      </c>
      <c r="B142" s="60" t="s">
        <v>29</v>
      </c>
      <c r="C142" s="60" t="s">
        <v>14</v>
      </c>
      <c r="D142" s="60"/>
      <c r="E142" s="60"/>
      <c r="F142" s="40">
        <f>F144</f>
        <v>31600</v>
      </c>
      <c r="G142" s="40">
        <f>G144</f>
        <v>31700</v>
      </c>
      <c r="H142" s="40">
        <f>H144</f>
        <v>27561.1</v>
      </c>
      <c r="I142" s="40">
        <f>I144</f>
        <v>23590.5</v>
      </c>
    </row>
    <row r="143" spans="1:9" s="1" customFormat="1" ht="46.9" x14ac:dyDescent="0.3">
      <c r="A143" s="7" t="s">
        <v>73</v>
      </c>
      <c r="B143" s="60" t="s">
        <v>29</v>
      </c>
      <c r="C143" s="60" t="s">
        <v>14</v>
      </c>
      <c r="D143" s="60" t="s">
        <v>163</v>
      </c>
      <c r="E143" s="60"/>
      <c r="F143" s="40">
        <f>F144</f>
        <v>31600</v>
      </c>
      <c r="G143" s="40">
        <f>G144</f>
        <v>31700</v>
      </c>
      <c r="H143" s="40">
        <f>H144</f>
        <v>27561.1</v>
      </c>
      <c r="I143" s="40">
        <f>I144</f>
        <v>23590.5</v>
      </c>
    </row>
    <row r="144" spans="1:9" s="1" customFormat="1" ht="31.25" x14ac:dyDescent="0.3">
      <c r="A144" s="8" t="s">
        <v>86</v>
      </c>
      <c r="B144" s="60" t="s">
        <v>29</v>
      </c>
      <c r="C144" s="60" t="s">
        <v>14</v>
      </c>
      <c r="D144" s="60" t="s">
        <v>163</v>
      </c>
      <c r="E144" s="60">
        <v>200</v>
      </c>
      <c r="F144" s="40">
        <v>31600</v>
      </c>
      <c r="G144" s="40">
        <v>31700</v>
      </c>
      <c r="H144" s="41">
        <f>ROUND(F144*0.975-(H305+H167)*0.025,1)-0.4</f>
        <v>27561.1</v>
      </c>
      <c r="I144" s="41">
        <f>ROUND(G144*0.95-(I305+I167)*0.05,1)-0.7</f>
        <v>23590.5</v>
      </c>
    </row>
    <row r="145" spans="1:9" ht="18.350000000000001" x14ac:dyDescent="0.3">
      <c r="A145" s="30" t="s">
        <v>150</v>
      </c>
      <c r="B145" s="53">
        <v>5</v>
      </c>
      <c r="C145" s="54"/>
      <c r="D145" s="55"/>
      <c r="E145" s="56"/>
      <c r="F145" s="39">
        <f>F146+F161</f>
        <v>42479.299999999996</v>
      </c>
      <c r="G145" s="39">
        <f>G146+G161</f>
        <v>38237.699999999997</v>
      </c>
      <c r="H145" s="39">
        <f>H146+H161</f>
        <v>41676.299999999996</v>
      </c>
      <c r="I145" s="39">
        <f>I146+I161</f>
        <v>36631.800000000003</v>
      </c>
    </row>
    <row r="146" spans="1:9" ht="18.350000000000001" x14ac:dyDescent="0.3">
      <c r="A146" s="7" t="s">
        <v>45</v>
      </c>
      <c r="B146" s="58" t="s">
        <v>12</v>
      </c>
      <c r="C146" s="60" t="s">
        <v>4</v>
      </c>
      <c r="D146" s="58"/>
      <c r="E146" s="58"/>
      <c r="F146" s="40">
        <f>F147+F158</f>
        <v>36374.1</v>
      </c>
      <c r="G146" s="40">
        <f>G147+G158</f>
        <v>32120</v>
      </c>
      <c r="H146" s="40">
        <f>H147+H158</f>
        <v>35571.1</v>
      </c>
      <c r="I146" s="40">
        <f>I147+I158</f>
        <v>30514.100000000002</v>
      </c>
    </row>
    <row r="147" spans="1:9" ht="47.55" x14ac:dyDescent="0.3">
      <c r="A147" s="31" t="s">
        <v>256</v>
      </c>
      <c r="B147" s="58" t="s">
        <v>12</v>
      </c>
      <c r="C147" s="60" t="s">
        <v>4</v>
      </c>
      <c r="D147" s="58" t="s">
        <v>257</v>
      </c>
      <c r="E147" s="58"/>
      <c r="F147" s="40">
        <f>F154+F148</f>
        <v>35791.1</v>
      </c>
      <c r="G147" s="40">
        <f>G154+G148</f>
        <v>31537</v>
      </c>
      <c r="H147" s="40">
        <f>H154+H148</f>
        <v>35002.699999999997</v>
      </c>
      <c r="I147" s="40">
        <f>I154+I148</f>
        <v>29960.2</v>
      </c>
    </row>
    <row r="148" spans="1:9" ht="46.9" x14ac:dyDescent="0.3">
      <c r="A148" s="77" t="s">
        <v>382</v>
      </c>
      <c r="B148" s="60" t="s">
        <v>12</v>
      </c>
      <c r="C148" s="60" t="s">
        <v>4</v>
      </c>
      <c r="D148" s="60" t="s">
        <v>355</v>
      </c>
      <c r="E148" s="60"/>
      <c r="F148" s="40">
        <f>F149</f>
        <v>4254.1000000000004</v>
      </c>
      <c r="G148" s="40">
        <f>G149</f>
        <v>0</v>
      </c>
      <c r="H148" s="40">
        <f>H149</f>
        <v>4254.1000000000004</v>
      </c>
      <c r="I148" s="40">
        <f>I149</f>
        <v>0</v>
      </c>
    </row>
    <row r="149" spans="1:9" ht="31.95" x14ac:dyDescent="0.3">
      <c r="A149" s="78" t="s">
        <v>383</v>
      </c>
      <c r="B149" s="60" t="s">
        <v>12</v>
      </c>
      <c r="C149" s="60" t="s">
        <v>4</v>
      </c>
      <c r="D149" s="60" t="s">
        <v>356</v>
      </c>
      <c r="E149" s="60"/>
      <c r="F149" s="40">
        <f>F150+F152</f>
        <v>4254.1000000000004</v>
      </c>
      <c r="G149" s="40">
        <f>G150+G152</f>
        <v>0</v>
      </c>
      <c r="H149" s="40">
        <f>H150+H152</f>
        <v>4254.1000000000004</v>
      </c>
      <c r="I149" s="40">
        <f>I150+I152</f>
        <v>0</v>
      </c>
    </row>
    <row r="150" spans="1:9" ht="125.7" x14ac:dyDescent="0.3">
      <c r="A150" s="78" t="s">
        <v>384</v>
      </c>
      <c r="B150" s="58" t="s">
        <v>12</v>
      </c>
      <c r="C150" s="60" t="s">
        <v>4</v>
      </c>
      <c r="D150" s="60" t="s">
        <v>357</v>
      </c>
      <c r="E150" s="60"/>
      <c r="F150" s="40">
        <f>F151</f>
        <v>3480.6</v>
      </c>
      <c r="G150" s="40">
        <f>G151</f>
        <v>0</v>
      </c>
      <c r="H150" s="40">
        <f>H151</f>
        <v>3480.6</v>
      </c>
      <c r="I150" s="40">
        <f>I151</f>
        <v>0</v>
      </c>
    </row>
    <row r="151" spans="1:9" ht="31.95" x14ac:dyDescent="0.3">
      <c r="A151" s="32" t="s">
        <v>86</v>
      </c>
      <c r="B151" s="58" t="s">
        <v>12</v>
      </c>
      <c r="C151" s="60" t="s">
        <v>4</v>
      </c>
      <c r="D151" s="60" t="s">
        <v>357</v>
      </c>
      <c r="E151" s="60" t="s">
        <v>67</v>
      </c>
      <c r="F151" s="40">
        <v>3480.6</v>
      </c>
      <c r="G151" s="40">
        <v>0</v>
      </c>
      <c r="H151" s="40">
        <f>F151</f>
        <v>3480.6</v>
      </c>
      <c r="I151" s="40">
        <f>G151</f>
        <v>0</v>
      </c>
    </row>
    <row r="152" spans="1:9" ht="110.05" x14ac:dyDescent="0.3">
      <c r="A152" s="78" t="s">
        <v>385</v>
      </c>
      <c r="B152" s="58" t="s">
        <v>12</v>
      </c>
      <c r="C152" s="60" t="s">
        <v>4</v>
      </c>
      <c r="D152" s="60" t="s">
        <v>358</v>
      </c>
      <c r="E152" s="60"/>
      <c r="F152" s="40">
        <f>F153</f>
        <v>773.5</v>
      </c>
      <c r="G152" s="40">
        <f>G153</f>
        <v>0</v>
      </c>
      <c r="H152" s="40">
        <f>H153</f>
        <v>773.5</v>
      </c>
      <c r="I152" s="40">
        <f>I153</f>
        <v>0</v>
      </c>
    </row>
    <row r="153" spans="1:9" ht="31.95" x14ac:dyDescent="0.3">
      <c r="A153" s="32" t="s">
        <v>86</v>
      </c>
      <c r="B153" s="58" t="s">
        <v>12</v>
      </c>
      <c r="C153" s="60" t="s">
        <v>4</v>
      </c>
      <c r="D153" s="60" t="s">
        <v>358</v>
      </c>
      <c r="E153" s="60" t="s">
        <v>67</v>
      </c>
      <c r="F153" s="40">
        <v>773.5</v>
      </c>
      <c r="G153" s="40">
        <v>0</v>
      </c>
      <c r="H153" s="40">
        <f>F153</f>
        <v>773.5</v>
      </c>
      <c r="I153" s="40">
        <f>G153</f>
        <v>0</v>
      </c>
    </row>
    <row r="154" spans="1:9" ht="63.2" x14ac:dyDescent="0.3">
      <c r="A154" s="31" t="s">
        <v>258</v>
      </c>
      <c r="B154" s="58" t="s">
        <v>12</v>
      </c>
      <c r="C154" s="60" t="s">
        <v>4</v>
      </c>
      <c r="D154" s="58" t="s">
        <v>259</v>
      </c>
      <c r="E154" s="58"/>
      <c r="F154" s="40">
        <f>F155</f>
        <v>31537</v>
      </c>
      <c r="G154" s="40">
        <f t="shared" ref="G154:I155" si="14">G155</f>
        <v>31537</v>
      </c>
      <c r="H154" s="40">
        <f t="shared" si="14"/>
        <v>30748.6</v>
      </c>
      <c r="I154" s="40">
        <f t="shared" si="14"/>
        <v>29960.2</v>
      </c>
    </row>
    <row r="155" spans="1:9" ht="47.55" x14ac:dyDescent="0.3">
      <c r="A155" s="31" t="s">
        <v>260</v>
      </c>
      <c r="B155" s="58" t="s">
        <v>12</v>
      </c>
      <c r="C155" s="60" t="s">
        <v>4</v>
      </c>
      <c r="D155" s="58" t="s">
        <v>261</v>
      </c>
      <c r="E155" s="58"/>
      <c r="F155" s="40">
        <f>F156</f>
        <v>31537</v>
      </c>
      <c r="G155" s="40">
        <f t="shared" si="14"/>
        <v>31537</v>
      </c>
      <c r="H155" s="40">
        <f t="shared" si="14"/>
        <v>30748.6</v>
      </c>
      <c r="I155" s="40">
        <f t="shared" si="14"/>
        <v>29960.2</v>
      </c>
    </row>
    <row r="156" spans="1:9" ht="62.5" x14ac:dyDescent="0.3">
      <c r="A156" s="9" t="s">
        <v>74</v>
      </c>
      <c r="B156" s="60" t="s">
        <v>12</v>
      </c>
      <c r="C156" s="60" t="s">
        <v>4</v>
      </c>
      <c r="D156" s="60" t="s">
        <v>116</v>
      </c>
      <c r="E156" s="60"/>
      <c r="F156" s="40">
        <f>F157</f>
        <v>31537</v>
      </c>
      <c r="G156" s="40">
        <f>G157</f>
        <v>31537</v>
      </c>
      <c r="H156" s="40">
        <f>H157</f>
        <v>30748.6</v>
      </c>
      <c r="I156" s="40">
        <f>I157</f>
        <v>29960.2</v>
      </c>
    </row>
    <row r="157" spans="1:9" ht="18.350000000000001" x14ac:dyDescent="0.3">
      <c r="A157" s="7" t="s">
        <v>36</v>
      </c>
      <c r="B157" s="58" t="s">
        <v>12</v>
      </c>
      <c r="C157" s="60" t="s">
        <v>4</v>
      </c>
      <c r="D157" s="60" t="s">
        <v>116</v>
      </c>
      <c r="E157" s="60" t="s">
        <v>68</v>
      </c>
      <c r="F157" s="40">
        <v>31537</v>
      </c>
      <c r="G157" s="40">
        <v>31537</v>
      </c>
      <c r="H157" s="41">
        <f>ROUND(F157*0.975,1)</f>
        <v>30748.6</v>
      </c>
      <c r="I157" s="41">
        <f>ROUND(G157*0.95,1)</f>
        <v>29960.2</v>
      </c>
    </row>
    <row r="158" spans="1:9" ht="18.350000000000001" x14ac:dyDescent="0.3">
      <c r="A158" s="7" t="s">
        <v>72</v>
      </c>
      <c r="B158" s="58" t="s">
        <v>12</v>
      </c>
      <c r="C158" s="60" t="s">
        <v>4</v>
      </c>
      <c r="D158" s="60" t="s">
        <v>96</v>
      </c>
      <c r="E158" s="60"/>
      <c r="F158" s="40">
        <f>F160</f>
        <v>583</v>
      </c>
      <c r="G158" s="40">
        <f>G160</f>
        <v>583</v>
      </c>
      <c r="H158" s="40">
        <f>H160</f>
        <v>568.4</v>
      </c>
      <c r="I158" s="40">
        <f>I160</f>
        <v>553.9</v>
      </c>
    </row>
    <row r="159" spans="1:9" ht="18.350000000000001" x14ac:dyDescent="0.3">
      <c r="A159" s="7" t="s">
        <v>83</v>
      </c>
      <c r="B159" s="58" t="s">
        <v>12</v>
      </c>
      <c r="C159" s="60" t="s">
        <v>4</v>
      </c>
      <c r="D159" s="60" t="s">
        <v>117</v>
      </c>
      <c r="E159" s="60"/>
      <c r="F159" s="40">
        <f>F160</f>
        <v>583</v>
      </c>
      <c r="G159" s="40">
        <f>G160</f>
        <v>583</v>
      </c>
      <c r="H159" s="40">
        <f>H160</f>
        <v>568.4</v>
      </c>
      <c r="I159" s="40">
        <f>I160</f>
        <v>553.9</v>
      </c>
    </row>
    <row r="160" spans="1:9" ht="31.25" x14ac:dyDescent="0.3">
      <c r="A160" s="8" t="s">
        <v>86</v>
      </c>
      <c r="B160" s="60" t="s">
        <v>12</v>
      </c>
      <c r="C160" s="60" t="s">
        <v>4</v>
      </c>
      <c r="D160" s="60" t="s">
        <v>117</v>
      </c>
      <c r="E160" s="60">
        <v>200</v>
      </c>
      <c r="F160" s="40">
        <f>583</f>
        <v>583</v>
      </c>
      <c r="G160" s="40">
        <f>583</f>
        <v>583</v>
      </c>
      <c r="H160" s="41">
        <f>ROUND(F160*0.975,1)</f>
        <v>568.4</v>
      </c>
      <c r="I160" s="41">
        <f>ROUND(G160*0.95,1)</f>
        <v>553.9</v>
      </c>
    </row>
    <row r="161" spans="1:166" ht="31.25" x14ac:dyDescent="0.3">
      <c r="A161" s="7" t="s">
        <v>33</v>
      </c>
      <c r="B161" s="60" t="s">
        <v>12</v>
      </c>
      <c r="C161" s="60" t="s">
        <v>12</v>
      </c>
      <c r="D161" s="60"/>
      <c r="E161" s="60"/>
      <c r="F161" s="40">
        <f>F162</f>
        <v>6105.2</v>
      </c>
      <c r="G161" s="40">
        <f>G162</f>
        <v>6117.7</v>
      </c>
      <c r="H161" s="40">
        <f>H162</f>
        <v>6105.2</v>
      </c>
      <c r="I161" s="40">
        <f>I162</f>
        <v>6117.7</v>
      </c>
    </row>
    <row r="162" spans="1:166" ht="18.350000000000001" x14ac:dyDescent="0.3">
      <c r="A162" s="7" t="s">
        <v>72</v>
      </c>
      <c r="B162" s="60" t="s">
        <v>12</v>
      </c>
      <c r="C162" s="60" t="s">
        <v>12</v>
      </c>
      <c r="D162" s="60" t="s">
        <v>96</v>
      </c>
      <c r="E162" s="60"/>
      <c r="F162" s="40">
        <f>F163+F166</f>
        <v>6105.2</v>
      </c>
      <c r="G162" s="40">
        <f>G163+G166</f>
        <v>6117.7</v>
      </c>
      <c r="H162" s="40">
        <f>H163+H166</f>
        <v>6105.2</v>
      </c>
      <c r="I162" s="40">
        <f>I163+I166</f>
        <v>6117.7</v>
      </c>
    </row>
    <row r="163" spans="1:166" ht="93.75" x14ac:dyDescent="0.3">
      <c r="A163" s="7" t="s">
        <v>177</v>
      </c>
      <c r="B163" s="60" t="s">
        <v>12</v>
      </c>
      <c r="C163" s="60" t="s">
        <v>12</v>
      </c>
      <c r="D163" s="60" t="s">
        <v>118</v>
      </c>
      <c r="E163" s="60"/>
      <c r="F163" s="40">
        <f>F164+F165</f>
        <v>549.4</v>
      </c>
      <c r="G163" s="40">
        <f>G164+G165</f>
        <v>549.4</v>
      </c>
      <c r="H163" s="40">
        <f>H164+H165</f>
        <v>549.4</v>
      </c>
      <c r="I163" s="40">
        <f>I164+I165</f>
        <v>549.4</v>
      </c>
    </row>
    <row r="164" spans="1:166" ht="62.5" x14ac:dyDescent="0.3">
      <c r="A164" s="7" t="s">
        <v>34</v>
      </c>
      <c r="B164" s="60" t="s">
        <v>12</v>
      </c>
      <c r="C164" s="60" t="s">
        <v>12</v>
      </c>
      <c r="D164" s="60" t="s">
        <v>118</v>
      </c>
      <c r="E164" s="60" t="s">
        <v>51</v>
      </c>
      <c r="F164" s="40">
        <v>351.4</v>
      </c>
      <c r="G164" s="40">
        <v>351.4</v>
      </c>
      <c r="H164" s="40">
        <f>F164</f>
        <v>351.4</v>
      </c>
      <c r="I164" s="40">
        <f>G164</f>
        <v>351.4</v>
      </c>
    </row>
    <row r="165" spans="1:166" ht="31.25" x14ac:dyDescent="0.3">
      <c r="A165" s="8" t="s">
        <v>86</v>
      </c>
      <c r="B165" s="60" t="s">
        <v>12</v>
      </c>
      <c r="C165" s="60" t="s">
        <v>12</v>
      </c>
      <c r="D165" s="60" t="s">
        <v>118</v>
      </c>
      <c r="E165" s="60" t="s">
        <v>67</v>
      </c>
      <c r="F165" s="40">
        <v>198</v>
      </c>
      <c r="G165" s="40">
        <v>198</v>
      </c>
      <c r="H165" s="40">
        <f>F165</f>
        <v>198</v>
      </c>
      <c r="I165" s="40">
        <f>G165</f>
        <v>198</v>
      </c>
    </row>
    <row r="166" spans="1:166" ht="18.350000000000001" x14ac:dyDescent="0.3">
      <c r="A166" s="7" t="s">
        <v>71</v>
      </c>
      <c r="B166" s="58" t="s">
        <v>12</v>
      </c>
      <c r="C166" s="60" t="s">
        <v>12</v>
      </c>
      <c r="D166" s="60" t="s">
        <v>119</v>
      </c>
      <c r="E166" s="60"/>
      <c r="F166" s="40">
        <f>F167</f>
        <v>5555.8</v>
      </c>
      <c r="G166" s="40">
        <f>G167</f>
        <v>5568.3</v>
      </c>
      <c r="H166" s="40">
        <f>H167</f>
        <v>5555.8</v>
      </c>
      <c r="I166" s="40">
        <f>I167</f>
        <v>5568.3</v>
      </c>
    </row>
    <row r="167" spans="1:166" ht="31.25" x14ac:dyDescent="0.3">
      <c r="A167" s="8" t="s">
        <v>86</v>
      </c>
      <c r="B167" s="58" t="s">
        <v>12</v>
      </c>
      <c r="C167" s="60" t="s">
        <v>12</v>
      </c>
      <c r="D167" s="60" t="s">
        <v>119</v>
      </c>
      <c r="E167" s="60" t="s">
        <v>67</v>
      </c>
      <c r="F167" s="40">
        <v>5555.8</v>
      </c>
      <c r="G167" s="40">
        <v>5568.3</v>
      </c>
      <c r="H167" s="41">
        <f>F167</f>
        <v>5555.8</v>
      </c>
      <c r="I167" s="41">
        <f>G167</f>
        <v>5568.3</v>
      </c>
    </row>
    <row r="168" spans="1:166" ht="18.350000000000001" x14ac:dyDescent="0.3">
      <c r="A168" s="6" t="s">
        <v>151</v>
      </c>
      <c r="B168" s="53">
        <v>6</v>
      </c>
      <c r="C168" s="54"/>
      <c r="D168" s="55"/>
      <c r="E168" s="56"/>
      <c r="F168" s="39">
        <f>F173</f>
        <v>8414</v>
      </c>
      <c r="G168" s="39">
        <f>G173</f>
        <v>8414</v>
      </c>
      <c r="H168" s="39">
        <f>H173</f>
        <v>8203.7000000000007</v>
      </c>
      <c r="I168" s="39">
        <f>I173</f>
        <v>7993.3</v>
      </c>
    </row>
    <row r="169" spans="1:166" ht="31.25" x14ac:dyDescent="0.3">
      <c r="A169" s="9" t="s">
        <v>27</v>
      </c>
      <c r="B169" s="66">
        <v>6</v>
      </c>
      <c r="C169" s="66">
        <v>3</v>
      </c>
      <c r="D169" s="67"/>
      <c r="E169" s="67"/>
      <c r="F169" s="40">
        <f>F170</f>
        <v>8414</v>
      </c>
      <c r="G169" s="40">
        <f t="shared" ref="G169:I171" si="15">G170</f>
        <v>8414</v>
      </c>
      <c r="H169" s="40">
        <f t="shared" si="15"/>
        <v>8203.7000000000007</v>
      </c>
      <c r="I169" s="40">
        <f t="shared" si="15"/>
        <v>7993.3</v>
      </c>
    </row>
    <row r="170" spans="1:166" ht="31.95" x14ac:dyDescent="0.3">
      <c r="A170" s="28" t="s">
        <v>386</v>
      </c>
      <c r="B170" s="66">
        <v>6</v>
      </c>
      <c r="C170" s="66">
        <v>3</v>
      </c>
      <c r="D170" s="67" t="s">
        <v>262</v>
      </c>
      <c r="E170" s="67"/>
      <c r="F170" s="40">
        <f>F171</f>
        <v>8414</v>
      </c>
      <c r="G170" s="40">
        <f t="shared" si="15"/>
        <v>8414</v>
      </c>
      <c r="H170" s="40">
        <f t="shared" si="15"/>
        <v>8203.7000000000007</v>
      </c>
      <c r="I170" s="40">
        <f t="shared" si="15"/>
        <v>7993.3</v>
      </c>
    </row>
    <row r="171" spans="1:166" ht="31.95" x14ac:dyDescent="0.3">
      <c r="A171" s="28" t="s">
        <v>263</v>
      </c>
      <c r="B171" s="66">
        <v>6</v>
      </c>
      <c r="C171" s="66">
        <v>3</v>
      </c>
      <c r="D171" s="67" t="s">
        <v>264</v>
      </c>
      <c r="E171" s="67"/>
      <c r="F171" s="40">
        <f>F172</f>
        <v>8414</v>
      </c>
      <c r="G171" s="40">
        <f t="shared" si="15"/>
        <v>8414</v>
      </c>
      <c r="H171" s="40">
        <f t="shared" si="15"/>
        <v>8203.7000000000007</v>
      </c>
      <c r="I171" s="40">
        <f t="shared" si="15"/>
        <v>7993.3</v>
      </c>
    </row>
    <row r="172" spans="1:166" ht="18.350000000000001" x14ac:dyDescent="0.3">
      <c r="A172" s="33" t="s">
        <v>265</v>
      </c>
      <c r="B172" s="66">
        <v>6</v>
      </c>
      <c r="C172" s="66">
        <v>3</v>
      </c>
      <c r="D172" s="67" t="s">
        <v>120</v>
      </c>
      <c r="E172" s="67"/>
      <c r="F172" s="40">
        <f>F173</f>
        <v>8414</v>
      </c>
      <c r="G172" s="40">
        <f>G173</f>
        <v>8414</v>
      </c>
      <c r="H172" s="40">
        <f>H173</f>
        <v>8203.7000000000007</v>
      </c>
      <c r="I172" s="40">
        <f>I173</f>
        <v>7993.3</v>
      </c>
    </row>
    <row r="173" spans="1:166" ht="31.25" x14ac:dyDescent="0.3">
      <c r="A173" s="7" t="s">
        <v>86</v>
      </c>
      <c r="B173" s="66">
        <v>6</v>
      </c>
      <c r="C173" s="66">
        <v>3</v>
      </c>
      <c r="D173" s="67" t="s">
        <v>120</v>
      </c>
      <c r="E173" s="60">
        <v>200</v>
      </c>
      <c r="F173" s="40">
        <v>8414</v>
      </c>
      <c r="G173" s="40">
        <v>8414</v>
      </c>
      <c r="H173" s="41">
        <f>ROUND(F173*0.975,1)</f>
        <v>8203.7000000000007</v>
      </c>
      <c r="I173" s="41">
        <f>ROUND(G173*0.95,1)</f>
        <v>7993.3</v>
      </c>
    </row>
    <row r="174" spans="1:166" ht="14.3" customHeight="1" x14ac:dyDescent="0.3">
      <c r="A174" s="6" t="s">
        <v>152</v>
      </c>
      <c r="B174" s="53">
        <v>7</v>
      </c>
      <c r="C174" s="54"/>
      <c r="D174" s="55"/>
      <c r="E174" s="56"/>
      <c r="F174" s="39">
        <f>F175+F202+F237+F255+F278</f>
        <v>1776211.3</v>
      </c>
      <c r="G174" s="39">
        <f>G175+G202+G237+G255+G278</f>
        <v>1787160.9999999998</v>
      </c>
      <c r="H174" s="39">
        <f>H175+H202+H237+H255+H278</f>
        <v>1750497.0999999999</v>
      </c>
      <c r="I174" s="39">
        <f>I175+I202+I237+I255+I278</f>
        <v>1735307.3</v>
      </c>
    </row>
    <row r="175" spans="1:166" ht="18.350000000000001" x14ac:dyDescent="0.3">
      <c r="A175" s="7" t="s">
        <v>58</v>
      </c>
      <c r="B175" s="58" t="s">
        <v>15</v>
      </c>
      <c r="C175" s="58" t="s">
        <v>4</v>
      </c>
      <c r="D175" s="60"/>
      <c r="E175" s="58"/>
      <c r="F175" s="40">
        <f>F176+F186+F194+F198+F190</f>
        <v>622240.6</v>
      </c>
      <c r="G175" s="40">
        <f>G176+G186+G194+G198+G190</f>
        <v>627356.89999999991</v>
      </c>
      <c r="H175" s="40">
        <f>H176+H186+H194+H198+H190</f>
        <v>612736.9</v>
      </c>
      <c r="I175" s="40">
        <f>I176+I186+I194+I198+I190</f>
        <v>608093.50000000012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ht="31.25" x14ac:dyDescent="0.3">
      <c r="A176" s="7" t="s">
        <v>377</v>
      </c>
      <c r="B176" s="58" t="s">
        <v>15</v>
      </c>
      <c r="C176" s="58" t="s">
        <v>4</v>
      </c>
      <c r="D176" s="60" t="s">
        <v>121</v>
      </c>
      <c r="E176" s="58"/>
      <c r="F176" s="40">
        <f>F177</f>
        <v>590842.6</v>
      </c>
      <c r="G176" s="40">
        <f>G177</f>
        <v>595446.79999999993</v>
      </c>
      <c r="H176" s="40">
        <f>H177</f>
        <v>582123.80000000005</v>
      </c>
      <c r="I176" s="40">
        <f>I177</f>
        <v>577778.9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  <row r="177" spans="1:166" ht="78.150000000000006" x14ac:dyDescent="0.3">
      <c r="A177" s="7" t="s">
        <v>267</v>
      </c>
      <c r="B177" s="58" t="s">
        <v>15</v>
      </c>
      <c r="C177" s="58" t="s">
        <v>4</v>
      </c>
      <c r="D177" s="60" t="s">
        <v>266</v>
      </c>
      <c r="E177" s="58"/>
      <c r="F177" s="40">
        <f>F178+F181</f>
        <v>590842.6</v>
      </c>
      <c r="G177" s="40">
        <f>G178+G181</f>
        <v>595446.79999999993</v>
      </c>
      <c r="H177" s="40">
        <f>H178+H181</f>
        <v>582123.80000000005</v>
      </c>
      <c r="I177" s="40">
        <f>I178+I181</f>
        <v>577778.9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</row>
    <row r="178" spans="1:166" ht="62.5" x14ac:dyDescent="0.3">
      <c r="A178" s="7" t="s">
        <v>78</v>
      </c>
      <c r="B178" s="58" t="s">
        <v>15</v>
      </c>
      <c r="C178" s="58" t="s">
        <v>4</v>
      </c>
      <c r="D178" s="60" t="s">
        <v>122</v>
      </c>
      <c r="E178" s="58"/>
      <c r="F178" s="40">
        <f>F180</f>
        <v>242088.6</v>
      </c>
      <c r="G178" s="40">
        <f>G180</f>
        <v>242088.6</v>
      </c>
      <c r="H178" s="40">
        <f>H180</f>
        <v>242088.6</v>
      </c>
      <c r="I178" s="40">
        <f>I180</f>
        <v>242088.6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  <row r="179" spans="1:166" ht="62.5" x14ac:dyDescent="0.3">
      <c r="A179" s="7" t="s">
        <v>59</v>
      </c>
      <c r="B179" s="58" t="s">
        <v>15</v>
      </c>
      <c r="C179" s="58" t="s">
        <v>4</v>
      </c>
      <c r="D179" s="60" t="s">
        <v>123</v>
      </c>
      <c r="E179" s="58"/>
      <c r="F179" s="40">
        <f>F180</f>
        <v>242088.6</v>
      </c>
      <c r="G179" s="40">
        <f>G180</f>
        <v>242088.6</v>
      </c>
      <c r="H179" s="40">
        <f>H180</f>
        <v>242088.6</v>
      </c>
      <c r="I179" s="40">
        <f>I180</f>
        <v>242088.6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</row>
    <row r="180" spans="1:166" ht="31.25" x14ac:dyDescent="0.3">
      <c r="A180" s="7" t="s">
        <v>37</v>
      </c>
      <c r="B180" s="58" t="s">
        <v>15</v>
      </c>
      <c r="C180" s="58" t="s">
        <v>4</v>
      </c>
      <c r="D180" s="60" t="s">
        <v>123</v>
      </c>
      <c r="E180" s="58">
        <v>600</v>
      </c>
      <c r="F180" s="40">
        <v>242088.6</v>
      </c>
      <c r="G180" s="40">
        <v>242088.6</v>
      </c>
      <c r="H180" s="40">
        <f>F180</f>
        <v>242088.6</v>
      </c>
      <c r="I180" s="40">
        <f>G180</f>
        <v>242088.6</v>
      </c>
      <c r="J180" s="38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ht="31.25" x14ac:dyDescent="0.3">
      <c r="A181" s="7" t="s">
        <v>79</v>
      </c>
      <c r="B181" s="58" t="s">
        <v>15</v>
      </c>
      <c r="C181" s="58" t="s">
        <v>4</v>
      </c>
      <c r="D181" s="60" t="s">
        <v>268</v>
      </c>
      <c r="E181" s="58"/>
      <c r="F181" s="40">
        <f>F183+F185</f>
        <v>348754</v>
      </c>
      <c r="G181" s="40">
        <f>G183+G185</f>
        <v>353358.19999999995</v>
      </c>
      <c r="H181" s="40">
        <f>H183+H185</f>
        <v>340035.2</v>
      </c>
      <c r="I181" s="40">
        <f>I183+I185</f>
        <v>335690.30000000005</v>
      </c>
      <c r="J181" s="38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ht="18.350000000000001" x14ac:dyDescent="0.3">
      <c r="A182" s="7" t="s">
        <v>60</v>
      </c>
      <c r="B182" s="58" t="s">
        <v>15</v>
      </c>
      <c r="C182" s="58" t="s">
        <v>4</v>
      </c>
      <c r="D182" s="60" t="s">
        <v>269</v>
      </c>
      <c r="E182" s="58"/>
      <c r="F182" s="40">
        <f>F183</f>
        <v>22285.700000000012</v>
      </c>
      <c r="G182" s="40">
        <f>G183</f>
        <v>87103.499999999971</v>
      </c>
      <c r="H182" s="40">
        <f>H183</f>
        <v>13566.9</v>
      </c>
      <c r="I182" s="40">
        <f>I183</f>
        <v>69435.600000000006</v>
      </c>
      <c r="J182" s="3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</row>
    <row r="183" spans="1:166" ht="31.25" x14ac:dyDescent="0.3">
      <c r="A183" s="7" t="s">
        <v>37</v>
      </c>
      <c r="B183" s="58" t="s">
        <v>15</v>
      </c>
      <c r="C183" s="58" t="s">
        <v>4</v>
      </c>
      <c r="D183" s="60" t="s">
        <v>269</v>
      </c>
      <c r="E183" s="58">
        <v>600</v>
      </c>
      <c r="F183" s="40">
        <f>363070-F185-F189-F197-F201</f>
        <v>22285.700000000012</v>
      </c>
      <c r="G183" s="40">
        <f>368186.3-G185-G189-G197-G201</f>
        <v>87103.499999999971</v>
      </c>
      <c r="H183" s="41">
        <f>ROUND(F183*0.975-(H185*0.025),1)</f>
        <v>13566.9</v>
      </c>
      <c r="I183" s="41">
        <f>ROUND(G183*0.95-(I185*0.05),1)</f>
        <v>69435.600000000006</v>
      </c>
      <c r="J183" s="38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</row>
    <row r="184" spans="1:166" ht="46.9" x14ac:dyDescent="0.3">
      <c r="A184" s="7" t="s">
        <v>192</v>
      </c>
      <c r="B184" s="58" t="s">
        <v>15</v>
      </c>
      <c r="C184" s="58" t="s">
        <v>4</v>
      </c>
      <c r="D184" s="60" t="s">
        <v>270</v>
      </c>
      <c r="E184" s="58"/>
      <c r="F184" s="40">
        <f>F185</f>
        <v>326468.3</v>
      </c>
      <c r="G184" s="40">
        <f>G185</f>
        <v>266254.7</v>
      </c>
      <c r="H184" s="40">
        <f>H185</f>
        <v>326468.3</v>
      </c>
      <c r="I184" s="40">
        <f>I185</f>
        <v>266254.7</v>
      </c>
      <c r="J184" s="38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</row>
    <row r="185" spans="1:166" ht="31.25" x14ac:dyDescent="0.3">
      <c r="A185" s="7" t="s">
        <v>37</v>
      </c>
      <c r="B185" s="58" t="s">
        <v>15</v>
      </c>
      <c r="C185" s="58" t="s">
        <v>4</v>
      </c>
      <c r="D185" s="60" t="s">
        <v>270</v>
      </c>
      <c r="E185" s="58">
        <v>600</v>
      </c>
      <c r="F185" s="40">
        <v>326468.3</v>
      </c>
      <c r="G185" s="40">
        <v>266254.7</v>
      </c>
      <c r="H185" s="41">
        <f>F185</f>
        <v>326468.3</v>
      </c>
      <c r="I185" s="41">
        <f>G185</f>
        <v>266254.7</v>
      </c>
      <c r="J185" s="38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</row>
    <row r="186" spans="1:166" ht="47.55" x14ac:dyDescent="0.3">
      <c r="A186" s="28" t="s">
        <v>387</v>
      </c>
      <c r="B186" s="58" t="s">
        <v>15</v>
      </c>
      <c r="C186" s="58" t="s">
        <v>4</v>
      </c>
      <c r="D186" s="60" t="s">
        <v>271</v>
      </c>
      <c r="E186" s="58"/>
      <c r="F186" s="40">
        <f>F187</f>
        <v>14</v>
      </c>
      <c r="G186" s="40">
        <f t="shared" ref="G186:I187" si="16">G187</f>
        <v>14</v>
      </c>
      <c r="H186" s="40">
        <f t="shared" si="16"/>
        <v>13.7</v>
      </c>
      <c r="I186" s="40">
        <f t="shared" si="16"/>
        <v>13.3</v>
      </c>
      <c r="J186" s="38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</row>
    <row r="187" spans="1:166" ht="47.55" x14ac:dyDescent="0.3">
      <c r="A187" s="28" t="s">
        <v>272</v>
      </c>
      <c r="B187" s="58" t="s">
        <v>15</v>
      </c>
      <c r="C187" s="58" t="s">
        <v>4</v>
      </c>
      <c r="D187" s="60" t="s">
        <v>273</v>
      </c>
      <c r="E187" s="58"/>
      <c r="F187" s="40">
        <f>F188</f>
        <v>14</v>
      </c>
      <c r="G187" s="40">
        <f t="shared" si="16"/>
        <v>14</v>
      </c>
      <c r="H187" s="40">
        <f t="shared" si="16"/>
        <v>13.7</v>
      </c>
      <c r="I187" s="40">
        <f t="shared" si="16"/>
        <v>13.3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</row>
    <row r="188" spans="1:166" s="1" customFormat="1" ht="18.350000000000001" x14ac:dyDescent="0.3">
      <c r="A188" s="28" t="s">
        <v>249</v>
      </c>
      <c r="B188" s="58" t="s">
        <v>15</v>
      </c>
      <c r="C188" s="58" t="s">
        <v>4</v>
      </c>
      <c r="D188" s="60" t="s">
        <v>124</v>
      </c>
      <c r="E188" s="58"/>
      <c r="F188" s="40">
        <f>F189</f>
        <v>14</v>
      </c>
      <c r="G188" s="40">
        <f>G189</f>
        <v>14</v>
      </c>
      <c r="H188" s="40">
        <f>H189</f>
        <v>13.7</v>
      </c>
      <c r="I188" s="40">
        <f>I189</f>
        <v>13.3</v>
      </c>
    </row>
    <row r="189" spans="1:166" s="1" customFormat="1" ht="31.25" x14ac:dyDescent="0.3">
      <c r="A189" s="7" t="s">
        <v>37</v>
      </c>
      <c r="B189" s="58" t="s">
        <v>15</v>
      </c>
      <c r="C189" s="58" t="s">
        <v>4</v>
      </c>
      <c r="D189" s="60" t="s">
        <v>124</v>
      </c>
      <c r="E189" s="58">
        <v>600</v>
      </c>
      <c r="F189" s="40">
        <v>14</v>
      </c>
      <c r="G189" s="40">
        <v>14</v>
      </c>
      <c r="H189" s="41">
        <f>ROUND(F189*0.975,1)</f>
        <v>13.7</v>
      </c>
      <c r="I189" s="41">
        <f>ROUND(G189*0.95,1)</f>
        <v>13.3</v>
      </c>
    </row>
    <row r="190" spans="1:166" s="1" customFormat="1" ht="62.5" x14ac:dyDescent="0.3">
      <c r="A190" s="7" t="s">
        <v>392</v>
      </c>
      <c r="B190" s="58" t="s">
        <v>15</v>
      </c>
      <c r="C190" s="58" t="s">
        <v>4</v>
      </c>
      <c r="D190" s="60" t="s">
        <v>309</v>
      </c>
      <c r="E190" s="58"/>
      <c r="F190" s="40">
        <f>F191</f>
        <v>17082</v>
      </c>
      <c r="G190" s="40">
        <f t="shared" ref="G190:I191" si="17">G191</f>
        <v>17082</v>
      </c>
      <c r="H190" s="40">
        <f t="shared" si="17"/>
        <v>16654.900000000001</v>
      </c>
      <c r="I190" s="40">
        <f t="shared" si="17"/>
        <v>16227.9</v>
      </c>
    </row>
    <row r="191" spans="1:166" s="1" customFormat="1" ht="31.95" x14ac:dyDescent="0.3">
      <c r="A191" s="28" t="s">
        <v>310</v>
      </c>
      <c r="B191" s="58" t="s">
        <v>15</v>
      </c>
      <c r="C191" s="58" t="s">
        <v>4</v>
      </c>
      <c r="D191" s="60" t="s">
        <v>311</v>
      </c>
      <c r="E191" s="58"/>
      <c r="F191" s="40">
        <f>F192</f>
        <v>17082</v>
      </c>
      <c r="G191" s="40">
        <f t="shared" si="17"/>
        <v>17082</v>
      </c>
      <c r="H191" s="40">
        <f t="shared" si="17"/>
        <v>16654.900000000001</v>
      </c>
      <c r="I191" s="40">
        <f t="shared" si="17"/>
        <v>16227.9</v>
      </c>
    </row>
    <row r="192" spans="1:166" ht="18.350000000000001" x14ac:dyDescent="0.3">
      <c r="A192" s="28" t="s">
        <v>249</v>
      </c>
      <c r="B192" s="58" t="s">
        <v>15</v>
      </c>
      <c r="C192" s="58" t="s">
        <v>4</v>
      </c>
      <c r="D192" s="60" t="s">
        <v>135</v>
      </c>
      <c r="E192" s="58"/>
      <c r="F192" s="40">
        <f>F193</f>
        <v>17082</v>
      </c>
      <c r="G192" s="40">
        <f>G193</f>
        <v>17082</v>
      </c>
      <c r="H192" s="40">
        <f>H193</f>
        <v>16654.900000000001</v>
      </c>
      <c r="I192" s="40">
        <f>I193</f>
        <v>16227.9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</row>
    <row r="193" spans="1:166" ht="31.25" x14ac:dyDescent="0.3">
      <c r="A193" s="7" t="s">
        <v>37</v>
      </c>
      <c r="B193" s="58" t="s">
        <v>15</v>
      </c>
      <c r="C193" s="58" t="s">
        <v>4</v>
      </c>
      <c r="D193" s="60" t="s">
        <v>135</v>
      </c>
      <c r="E193" s="58">
        <v>600</v>
      </c>
      <c r="F193" s="40">
        <v>17082</v>
      </c>
      <c r="G193" s="40">
        <v>17082</v>
      </c>
      <c r="H193" s="41">
        <f>ROUND(F193*0.975,1)-0.1</f>
        <v>16654.900000000001</v>
      </c>
      <c r="I193" s="41">
        <f>ROUND(G193*0.95,1)</f>
        <v>16227.9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</row>
    <row r="194" spans="1:166" s="1" customFormat="1" ht="31.95" x14ac:dyDescent="0.3">
      <c r="A194" s="28" t="s">
        <v>388</v>
      </c>
      <c r="B194" s="58" t="s">
        <v>15</v>
      </c>
      <c r="C194" s="58" t="s">
        <v>4</v>
      </c>
      <c r="D194" s="60" t="s">
        <v>274</v>
      </c>
      <c r="E194" s="58"/>
      <c r="F194" s="40">
        <f>F195</f>
        <v>1500</v>
      </c>
      <c r="G194" s="40">
        <f t="shared" ref="G194:I195" si="18">G195</f>
        <v>1500</v>
      </c>
      <c r="H194" s="40">
        <f t="shared" si="18"/>
        <v>1462.5</v>
      </c>
      <c r="I194" s="40">
        <f t="shared" si="18"/>
        <v>1425</v>
      </c>
    </row>
    <row r="195" spans="1:166" s="1" customFormat="1" ht="31.95" x14ac:dyDescent="0.3">
      <c r="A195" s="28" t="s">
        <v>275</v>
      </c>
      <c r="B195" s="58" t="s">
        <v>15</v>
      </c>
      <c r="C195" s="58" t="s">
        <v>4</v>
      </c>
      <c r="D195" s="60" t="s">
        <v>276</v>
      </c>
      <c r="E195" s="58"/>
      <c r="F195" s="40">
        <f>F196</f>
        <v>1500</v>
      </c>
      <c r="G195" s="40">
        <f t="shared" si="18"/>
        <v>1500</v>
      </c>
      <c r="H195" s="40">
        <f t="shared" si="18"/>
        <v>1462.5</v>
      </c>
      <c r="I195" s="40">
        <f t="shared" si="18"/>
        <v>1425</v>
      </c>
    </row>
    <row r="196" spans="1:166" s="1" customFormat="1" ht="18.350000000000001" x14ac:dyDescent="0.3">
      <c r="A196" s="28" t="s">
        <v>249</v>
      </c>
      <c r="B196" s="58" t="s">
        <v>15</v>
      </c>
      <c r="C196" s="58" t="s">
        <v>4</v>
      </c>
      <c r="D196" s="60" t="s">
        <v>125</v>
      </c>
      <c r="E196" s="58"/>
      <c r="F196" s="40">
        <f>F197</f>
        <v>1500</v>
      </c>
      <c r="G196" s="40">
        <f>G197</f>
        <v>1500</v>
      </c>
      <c r="H196" s="40">
        <f>H197</f>
        <v>1462.5</v>
      </c>
      <c r="I196" s="40">
        <f>I197</f>
        <v>1425</v>
      </c>
    </row>
    <row r="197" spans="1:166" s="1" customFormat="1" ht="31.25" x14ac:dyDescent="0.3">
      <c r="A197" s="7" t="s">
        <v>37</v>
      </c>
      <c r="B197" s="58" t="s">
        <v>15</v>
      </c>
      <c r="C197" s="58" t="s">
        <v>4</v>
      </c>
      <c r="D197" s="60" t="s">
        <v>125</v>
      </c>
      <c r="E197" s="58">
        <v>600</v>
      </c>
      <c r="F197" s="40">
        <v>1500</v>
      </c>
      <c r="G197" s="40">
        <v>1500</v>
      </c>
      <c r="H197" s="41">
        <f>ROUND(F197*0.975,1)</f>
        <v>1462.5</v>
      </c>
      <c r="I197" s="41">
        <f>ROUND(G197*0.95,1)</f>
        <v>1425</v>
      </c>
    </row>
    <row r="198" spans="1:166" s="1" customFormat="1" ht="62.5" x14ac:dyDescent="0.3">
      <c r="A198" s="7" t="s">
        <v>389</v>
      </c>
      <c r="B198" s="58" t="s">
        <v>15</v>
      </c>
      <c r="C198" s="58" t="s">
        <v>4</v>
      </c>
      <c r="D198" s="60" t="s">
        <v>277</v>
      </c>
      <c r="E198" s="58"/>
      <c r="F198" s="40">
        <f>F199</f>
        <v>12802</v>
      </c>
      <c r="G198" s="40">
        <f t="shared" ref="G198:I199" si="19">G199</f>
        <v>13314.1</v>
      </c>
      <c r="H198" s="40">
        <f t="shared" si="19"/>
        <v>12482</v>
      </c>
      <c r="I198" s="40">
        <f t="shared" si="19"/>
        <v>12648.4</v>
      </c>
    </row>
    <row r="199" spans="1:166" s="1" customFormat="1" ht="31.95" x14ac:dyDescent="0.3">
      <c r="A199" s="28" t="s">
        <v>278</v>
      </c>
      <c r="B199" s="58" t="s">
        <v>15</v>
      </c>
      <c r="C199" s="58" t="s">
        <v>4</v>
      </c>
      <c r="D199" s="68" t="s">
        <v>279</v>
      </c>
      <c r="E199" s="58"/>
      <c r="F199" s="40">
        <f>F200</f>
        <v>12802</v>
      </c>
      <c r="G199" s="40">
        <f t="shared" si="19"/>
        <v>13314.1</v>
      </c>
      <c r="H199" s="40">
        <f t="shared" si="19"/>
        <v>12482</v>
      </c>
      <c r="I199" s="40">
        <f t="shared" si="19"/>
        <v>12648.4</v>
      </c>
    </row>
    <row r="200" spans="1:166" s="1" customFormat="1" ht="18.350000000000001" x14ac:dyDescent="0.3">
      <c r="A200" s="7" t="s">
        <v>249</v>
      </c>
      <c r="B200" s="58" t="s">
        <v>15</v>
      </c>
      <c r="C200" s="58" t="s">
        <v>4</v>
      </c>
      <c r="D200" s="68" t="s">
        <v>280</v>
      </c>
      <c r="E200" s="61"/>
      <c r="F200" s="42">
        <f>F201</f>
        <v>12802</v>
      </c>
      <c r="G200" s="42">
        <f>G201</f>
        <v>13314.1</v>
      </c>
      <c r="H200" s="42">
        <f>H201</f>
        <v>12482</v>
      </c>
      <c r="I200" s="42">
        <f>I201</f>
        <v>12648.4</v>
      </c>
    </row>
    <row r="201" spans="1:166" s="1" customFormat="1" ht="31.25" x14ac:dyDescent="0.3">
      <c r="A201" s="7" t="s">
        <v>37</v>
      </c>
      <c r="B201" s="69" t="s">
        <v>15</v>
      </c>
      <c r="C201" s="58" t="s">
        <v>4</v>
      </c>
      <c r="D201" s="68" t="s">
        <v>280</v>
      </c>
      <c r="E201" s="61">
        <v>600</v>
      </c>
      <c r="F201" s="42">
        <v>12802</v>
      </c>
      <c r="G201" s="42">
        <v>13314.1</v>
      </c>
      <c r="H201" s="41">
        <f>ROUND(F201*0.975,1)</f>
        <v>12482</v>
      </c>
      <c r="I201" s="41">
        <f>ROUND(G201*0.95,1)</f>
        <v>12648.4</v>
      </c>
    </row>
    <row r="202" spans="1:166" ht="18.350000000000001" x14ac:dyDescent="0.3">
      <c r="A202" s="7" t="s">
        <v>21</v>
      </c>
      <c r="B202" s="58" t="s">
        <v>15</v>
      </c>
      <c r="C202" s="58" t="s">
        <v>5</v>
      </c>
      <c r="D202" s="60"/>
      <c r="E202" s="58"/>
      <c r="F202" s="40">
        <f>F203+F223+F231+F235+F225</f>
        <v>772787.99999999988</v>
      </c>
      <c r="G202" s="40">
        <f>G203+G223+G231+G235+G225</f>
        <v>778237.1</v>
      </c>
      <c r="H202" s="40">
        <f>H203+H223+H231+H235+H225</f>
        <v>765420.99999999988</v>
      </c>
      <c r="I202" s="40">
        <f>I203+I223+I231+I235+I225</f>
        <v>763352.69999999984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</row>
    <row r="203" spans="1:166" ht="31.25" x14ac:dyDescent="0.3">
      <c r="A203" s="7" t="s">
        <v>377</v>
      </c>
      <c r="B203" s="58" t="s">
        <v>15</v>
      </c>
      <c r="C203" s="58" t="s">
        <v>5</v>
      </c>
      <c r="D203" s="60" t="s">
        <v>121</v>
      </c>
      <c r="E203" s="58"/>
      <c r="F203" s="40">
        <f>F205+F212+F218</f>
        <v>759833.99999999988</v>
      </c>
      <c r="G203" s="40">
        <f>G205+G212+G218</f>
        <v>765279.1</v>
      </c>
      <c r="H203" s="40">
        <f>H205+H212+H218</f>
        <v>752790.89999999991</v>
      </c>
      <c r="I203" s="40">
        <f>I205+I212+I218</f>
        <v>751042.49999999988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</row>
    <row r="204" spans="1:166" ht="18.350000000000001" x14ac:dyDescent="0.3">
      <c r="A204" s="28" t="s">
        <v>217</v>
      </c>
      <c r="B204" s="58" t="s">
        <v>15</v>
      </c>
      <c r="C204" s="58" t="s">
        <v>5</v>
      </c>
      <c r="D204" s="60" t="s">
        <v>218</v>
      </c>
      <c r="E204" s="58"/>
      <c r="F204" s="40">
        <f>F205+F212+F217</f>
        <v>759833.99999999988</v>
      </c>
      <c r="G204" s="40">
        <f>G205+G212+G217</f>
        <v>765279.1</v>
      </c>
      <c r="H204" s="40">
        <f>H205+H212+H217</f>
        <v>752790.89999999991</v>
      </c>
      <c r="I204" s="40">
        <f>I205+I212+I217</f>
        <v>751042.49999999988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</row>
    <row r="205" spans="1:166" ht="18.350000000000001" x14ac:dyDescent="0.3">
      <c r="A205" s="7" t="s">
        <v>80</v>
      </c>
      <c r="B205" s="58" t="s">
        <v>15</v>
      </c>
      <c r="C205" s="58" t="s">
        <v>5</v>
      </c>
      <c r="D205" s="60" t="s">
        <v>281</v>
      </c>
      <c r="E205" s="58"/>
      <c r="F205" s="40">
        <f>F207+F209+F211</f>
        <v>256881.6</v>
      </c>
      <c r="G205" s="40">
        <f>G207+G209+G211</f>
        <v>259891.80000000002</v>
      </c>
      <c r="H205" s="40">
        <f>H207+H209+H211</f>
        <v>250459.5</v>
      </c>
      <c r="I205" s="40">
        <f>I207+I209+I211</f>
        <v>246897.19999999998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</row>
    <row r="206" spans="1:166" ht="31.25" x14ac:dyDescent="0.3">
      <c r="A206" s="7" t="s">
        <v>61</v>
      </c>
      <c r="B206" s="58" t="s">
        <v>15</v>
      </c>
      <c r="C206" s="58" t="s">
        <v>5</v>
      </c>
      <c r="D206" s="60" t="s">
        <v>282</v>
      </c>
      <c r="E206" s="58"/>
      <c r="F206" s="40">
        <f>F207</f>
        <v>161889.19999999998</v>
      </c>
      <c r="G206" s="40">
        <f>G207</f>
        <v>165507.6</v>
      </c>
      <c r="H206" s="40">
        <f>H207</f>
        <v>155578</v>
      </c>
      <c r="I206" s="40">
        <f>I207</f>
        <v>152704.29999999999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</row>
    <row r="207" spans="1:166" ht="31.25" x14ac:dyDescent="0.3">
      <c r="A207" s="7" t="s">
        <v>37</v>
      </c>
      <c r="B207" s="58" t="s">
        <v>15</v>
      </c>
      <c r="C207" s="58" t="s">
        <v>5</v>
      </c>
      <c r="D207" s="60" t="s">
        <v>282</v>
      </c>
      <c r="E207" s="58">
        <v>600</v>
      </c>
      <c r="F207" s="40">
        <f>258491.4-F209-F211-F224-F232-F236</f>
        <v>161889.19999999998</v>
      </c>
      <c r="G207" s="40">
        <f>261505.6-G209-G211-G224-G232-G236</f>
        <v>165507.6</v>
      </c>
      <c r="H207" s="47">
        <f>ROUND(F207*0.975-(H209*0.025),1)</f>
        <v>155578</v>
      </c>
      <c r="I207" s="41">
        <f>ROUND(G207*0.95-(I209*0.05),1)</f>
        <v>152704.29999999999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</row>
    <row r="208" spans="1:166" ht="46.9" x14ac:dyDescent="0.3">
      <c r="A208" s="7" t="s">
        <v>195</v>
      </c>
      <c r="B208" s="58" t="s">
        <v>15</v>
      </c>
      <c r="C208" s="58" t="s">
        <v>5</v>
      </c>
      <c r="D208" s="60" t="s">
        <v>283</v>
      </c>
      <c r="E208" s="58"/>
      <c r="F208" s="40">
        <f>F209</f>
        <v>90557.8</v>
      </c>
      <c r="G208" s="40">
        <f>G209</f>
        <v>90557.8</v>
      </c>
      <c r="H208" s="40">
        <f>H209</f>
        <v>90557.8</v>
      </c>
      <c r="I208" s="40">
        <f>I209</f>
        <v>90557.8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</row>
    <row r="209" spans="1:166" ht="31.25" x14ac:dyDescent="0.3">
      <c r="A209" s="7" t="s">
        <v>37</v>
      </c>
      <c r="B209" s="58" t="s">
        <v>15</v>
      </c>
      <c r="C209" s="58" t="s">
        <v>5</v>
      </c>
      <c r="D209" s="60" t="s">
        <v>283</v>
      </c>
      <c r="E209" s="58">
        <v>600</v>
      </c>
      <c r="F209" s="40">
        <f>60000+30557.8</f>
        <v>90557.8</v>
      </c>
      <c r="G209" s="40">
        <f>60000+30557.8</f>
        <v>90557.8</v>
      </c>
      <c r="H209" s="41">
        <f>F209</f>
        <v>90557.8</v>
      </c>
      <c r="I209" s="41">
        <f>G209</f>
        <v>90557.8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</row>
    <row r="210" spans="1:166" ht="46.9" x14ac:dyDescent="0.3">
      <c r="A210" s="7" t="s">
        <v>196</v>
      </c>
      <c r="B210" s="58" t="s">
        <v>15</v>
      </c>
      <c r="C210" s="58" t="s">
        <v>5</v>
      </c>
      <c r="D210" s="60" t="s">
        <v>283</v>
      </c>
      <c r="E210" s="58"/>
      <c r="F210" s="40">
        <f>F211</f>
        <v>4434.5999999999995</v>
      </c>
      <c r="G210" s="40">
        <f>G211</f>
        <v>3826.3999999999996</v>
      </c>
      <c r="H210" s="40">
        <f>H211</f>
        <v>4323.7</v>
      </c>
      <c r="I210" s="40">
        <f>I211</f>
        <v>3635.1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</row>
    <row r="211" spans="1:166" ht="31.25" x14ac:dyDescent="0.3">
      <c r="A211" s="7" t="s">
        <v>37</v>
      </c>
      <c r="B211" s="58" t="s">
        <v>15</v>
      </c>
      <c r="C211" s="58" t="s">
        <v>5</v>
      </c>
      <c r="D211" s="60" t="s">
        <v>283</v>
      </c>
      <c r="E211" s="58">
        <v>600</v>
      </c>
      <c r="F211" s="40">
        <f>4125.9+308.7</f>
        <v>4434.5999999999995</v>
      </c>
      <c r="G211" s="40">
        <f>3517.7+308.7</f>
        <v>3826.3999999999996</v>
      </c>
      <c r="H211" s="41">
        <f>ROUND(F211*0.975,1)</f>
        <v>4323.7</v>
      </c>
      <c r="I211" s="41">
        <f>ROUND(G211*0.95,1)</f>
        <v>3635.1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</row>
    <row r="212" spans="1:166" ht="109.4" x14ac:dyDescent="0.3">
      <c r="A212" s="7" t="s">
        <v>75</v>
      </c>
      <c r="B212" s="58" t="s">
        <v>15</v>
      </c>
      <c r="C212" s="58" t="s">
        <v>5</v>
      </c>
      <c r="D212" s="60" t="s">
        <v>126</v>
      </c>
      <c r="E212" s="58"/>
      <c r="F212" s="40">
        <f>F213+F215</f>
        <v>449450.19999999995</v>
      </c>
      <c r="G212" s="40">
        <f>G213+G215</f>
        <v>451012.6</v>
      </c>
      <c r="H212" s="40">
        <f>H213+H215</f>
        <v>449450.19999999995</v>
      </c>
      <c r="I212" s="40">
        <f>I213+I215</f>
        <v>451012.6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</row>
    <row r="213" spans="1:166" ht="93.75" x14ac:dyDescent="0.3">
      <c r="A213" s="7" t="s">
        <v>178</v>
      </c>
      <c r="B213" s="58" t="s">
        <v>15</v>
      </c>
      <c r="C213" s="58" t="s">
        <v>5</v>
      </c>
      <c r="D213" s="60" t="s">
        <v>127</v>
      </c>
      <c r="E213" s="58"/>
      <c r="F213" s="40">
        <f>F214</f>
        <v>413280.6</v>
      </c>
      <c r="G213" s="40">
        <f>G214</f>
        <v>413280.6</v>
      </c>
      <c r="H213" s="40">
        <f>H214</f>
        <v>413280.6</v>
      </c>
      <c r="I213" s="40">
        <f>I214</f>
        <v>413280.6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</row>
    <row r="214" spans="1:166" ht="31.25" x14ac:dyDescent="0.3">
      <c r="A214" s="7" t="s">
        <v>37</v>
      </c>
      <c r="B214" s="58" t="s">
        <v>15</v>
      </c>
      <c r="C214" s="58" t="s">
        <v>5</v>
      </c>
      <c r="D214" s="60" t="s">
        <v>127</v>
      </c>
      <c r="E214" s="58">
        <v>600</v>
      </c>
      <c r="F214" s="40">
        <v>413280.6</v>
      </c>
      <c r="G214" s="40">
        <v>413280.6</v>
      </c>
      <c r="H214" s="40">
        <f>F214</f>
        <v>413280.6</v>
      </c>
      <c r="I214" s="40">
        <f>G214</f>
        <v>413280.6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</row>
    <row r="215" spans="1:166" ht="140.6" x14ac:dyDescent="0.3">
      <c r="A215" s="9" t="s">
        <v>201</v>
      </c>
      <c r="B215" s="66">
        <v>7</v>
      </c>
      <c r="C215" s="66">
        <v>2</v>
      </c>
      <c r="D215" s="67" t="s">
        <v>203</v>
      </c>
      <c r="E215" s="67"/>
      <c r="F215" s="40">
        <f>F216</f>
        <v>36169.599999999999</v>
      </c>
      <c r="G215" s="40">
        <f>G216</f>
        <v>37732</v>
      </c>
      <c r="H215" s="40">
        <f>H216</f>
        <v>36169.599999999999</v>
      </c>
      <c r="I215" s="40">
        <f>I216</f>
        <v>37732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</row>
    <row r="216" spans="1:166" ht="31.25" x14ac:dyDescent="0.3">
      <c r="A216" s="7" t="s">
        <v>37</v>
      </c>
      <c r="B216" s="66">
        <v>7</v>
      </c>
      <c r="C216" s="66">
        <v>2</v>
      </c>
      <c r="D216" s="67" t="s">
        <v>203</v>
      </c>
      <c r="E216" s="60" t="s">
        <v>68</v>
      </c>
      <c r="F216" s="40">
        <v>36169.599999999999</v>
      </c>
      <c r="G216" s="40">
        <v>37732</v>
      </c>
      <c r="H216" s="40">
        <f>F216</f>
        <v>36169.599999999999</v>
      </c>
      <c r="I216" s="40">
        <f>G216</f>
        <v>37732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</row>
    <row r="217" spans="1:166" ht="47.55" x14ac:dyDescent="0.3">
      <c r="A217" s="28" t="s">
        <v>285</v>
      </c>
      <c r="B217" s="66" t="s">
        <v>15</v>
      </c>
      <c r="C217" s="66" t="s">
        <v>5</v>
      </c>
      <c r="D217" s="67" t="s">
        <v>284</v>
      </c>
      <c r="E217" s="60"/>
      <c r="F217" s="40">
        <f>F218</f>
        <v>53502.2</v>
      </c>
      <c r="G217" s="40">
        <f>G218</f>
        <v>54374.7</v>
      </c>
      <c r="H217" s="40">
        <f>H218</f>
        <v>52881.2</v>
      </c>
      <c r="I217" s="40">
        <f>I218</f>
        <v>53132.7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</row>
    <row r="218" spans="1:166" ht="62.5" x14ac:dyDescent="0.3">
      <c r="A218" s="7" t="s">
        <v>202</v>
      </c>
      <c r="B218" s="66" t="s">
        <v>15</v>
      </c>
      <c r="C218" s="66" t="s">
        <v>5</v>
      </c>
      <c r="D218" s="67" t="s">
        <v>204</v>
      </c>
      <c r="E218" s="60"/>
      <c r="F218" s="40">
        <f>F219+F220</f>
        <v>53502.2</v>
      </c>
      <c r="G218" s="40">
        <f>G219+G220</f>
        <v>54374.7</v>
      </c>
      <c r="H218" s="40">
        <f>H219+H220</f>
        <v>52881.2</v>
      </c>
      <c r="I218" s="40">
        <f>I219+I220</f>
        <v>53132.7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</row>
    <row r="219" spans="1:166" ht="31.25" x14ac:dyDescent="0.3">
      <c r="A219" s="7" t="s">
        <v>37</v>
      </c>
      <c r="B219" s="66" t="s">
        <v>15</v>
      </c>
      <c r="C219" s="66" t="s">
        <v>5</v>
      </c>
      <c r="D219" s="67" t="s">
        <v>204</v>
      </c>
      <c r="E219" s="60">
        <v>600</v>
      </c>
      <c r="F219" s="40">
        <f>24840.7</f>
        <v>24840.7</v>
      </c>
      <c r="G219" s="40">
        <v>24840.7</v>
      </c>
      <c r="H219" s="41">
        <f>ROUND(F219*0.975,1)</f>
        <v>24219.7</v>
      </c>
      <c r="I219" s="41">
        <f>ROUND(G219*0.95,1)</f>
        <v>23598.7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</row>
    <row r="220" spans="1:166" ht="31.25" x14ac:dyDescent="0.3">
      <c r="A220" s="7" t="s">
        <v>37</v>
      </c>
      <c r="B220" s="66" t="s">
        <v>15</v>
      </c>
      <c r="C220" s="66" t="s">
        <v>5</v>
      </c>
      <c r="D220" s="67" t="s">
        <v>204</v>
      </c>
      <c r="E220" s="60">
        <v>600</v>
      </c>
      <c r="F220" s="40">
        <v>28661.5</v>
      </c>
      <c r="G220" s="40">
        <v>29534</v>
      </c>
      <c r="H220" s="40">
        <f>F220</f>
        <v>28661.5</v>
      </c>
      <c r="I220" s="40">
        <f>G220</f>
        <v>29534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</row>
    <row r="221" spans="1:166" ht="47.55" x14ac:dyDescent="0.3">
      <c r="A221" s="28" t="s">
        <v>387</v>
      </c>
      <c r="B221" s="69" t="s">
        <v>15</v>
      </c>
      <c r="C221" s="58" t="s">
        <v>5</v>
      </c>
      <c r="D221" s="60" t="s">
        <v>271</v>
      </c>
      <c r="E221" s="60"/>
      <c r="F221" s="40">
        <f>F222</f>
        <v>11</v>
      </c>
      <c r="G221" s="40">
        <f t="shared" ref="G221:I222" si="20">G222</f>
        <v>11</v>
      </c>
      <c r="H221" s="40">
        <f t="shared" si="20"/>
        <v>10.7</v>
      </c>
      <c r="I221" s="40">
        <f t="shared" si="20"/>
        <v>10.5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</row>
    <row r="222" spans="1:166" ht="47.55" x14ac:dyDescent="0.3">
      <c r="A222" s="28" t="s">
        <v>272</v>
      </c>
      <c r="B222" s="69" t="s">
        <v>15</v>
      </c>
      <c r="C222" s="58" t="s">
        <v>5</v>
      </c>
      <c r="D222" s="60" t="s">
        <v>273</v>
      </c>
      <c r="E222" s="60"/>
      <c r="F222" s="40">
        <f>F223</f>
        <v>11</v>
      </c>
      <c r="G222" s="40">
        <f t="shared" si="20"/>
        <v>11</v>
      </c>
      <c r="H222" s="40">
        <f t="shared" si="20"/>
        <v>10.7</v>
      </c>
      <c r="I222" s="40">
        <f t="shared" si="20"/>
        <v>10.5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</row>
    <row r="223" spans="1:166" s="1" customFormat="1" ht="18.350000000000001" x14ac:dyDescent="0.3">
      <c r="A223" s="28" t="s">
        <v>249</v>
      </c>
      <c r="B223" s="69" t="s">
        <v>15</v>
      </c>
      <c r="C223" s="58" t="s">
        <v>5</v>
      </c>
      <c r="D223" s="60" t="s">
        <v>124</v>
      </c>
      <c r="E223" s="58"/>
      <c r="F223" s="40">
        <f>F224</f>
        <v>11</v>
      </c>
      <c r="G223" s="40">
        <f>G224</f>
        <v>11</v>
      </c>
      <c r="H223" s="40">
        <f>H224</f>
        <v>10.7</v>
      </c>
      <c r="I223" s="40">
        <f>I224</f>
        <v>10.5</v>
      </c>
    </row>
    <row r="224" spans="1:166" s="1" customFormat="1" ht="31.25" x14ac:dyDescent="0.3">
      <c r="A224" s="7" t="s">
        <v>37</v>
      </c>
      <c r="B224" s="69" t="s">
        <v>15</v>
      </c>
      <c r="C224" s="58" t="s">
        <v>5</v>
      </c>
      <c r="D224" s="60" t="s">
        <v>124</v>
      </c>
      <c r="E224" s="58">
        <v>600</v>
      </c>
      <c r="F224" s="40">
        <v>11</v>
      </c>
      <c r="G224" s="40">
        <v>11</v>
      </c>
      <c r="H224" s="41">
        <f>ROUND(F224*0.975,1)</f>
        <v>10.7</v>
      </c>
      <c r="I224" s="41">
        <f>ROUND(G224*0.95,1)</f>
        <v>10.5</v>
      </c>
    </row>
    <row r="225" spans="1:166" s="1" customFormat="1" ht="62.5" x14ac:dyDescent="0.3">
      <c r="A225" s="7" t="s">
        <v>392</v>
      </c>
      <c r="B225" s="58" t="s">
        <v>15</v>
      </c>
      <c r="C225" s="58" t="s">
        <v>5</v>
      </c>
      <c r="D225" s="60" t="s">
        <v>309</v>
      </c>
      <c r="E225" s="58"/>
      <c r="F225" s="40">
        <f>F226</f>
        <v>11344.2</v>
      </c>
      <c r="G225" s="40">
        <f t="shared" ref="G225:I226" si="21">G226</f>
        <v>11344.2</v>
      </c>
      <c r="H225" s="40">
        <f t="shared" si="21"/>
        <v>11060.6</v>
      </c>
      <c r="I225" s="40">
        <f t="shared" si="21"/>
        <v>10777</v>
      </c>
    </row>
    <row r="226" spans="1:166" s="1" customFormat="1" ht="31.95" x14ac:dyDescent="0.3">
      <c r="A226" s="28" t="s">
        <v>310</v>
      </c>
      <c r="B226" s="58" t="s">
        <v>15</v>
      </c>
      <c r="C226" s="58" t="s">
        <v>5</v>
      </c>
      <c r="D226" s="60" t="s">
        <v>311</v>
      </c>
      <c r="E226" s="58"/>
      <c r="F226" s="40">
        <f>F227</f>
        <v>11344.2</v>
      </c>
      <c r="G226" s="40">
        <f t="shared" si="21"/>
        <v>11344.2</v>
      </c>
      <c r="H226" s="40">
        <f t="shared" si="21"/>
        <v>11060.6</v>
      </c>
      <c r="I226" s="40">
        <f t="shared" si="21"/>
        <v>10777</v>
      </c>
    </row>
    <row r="227" spans="1:166" ht="18.350000000000001" x14ac:dyDescent="0.3">
      <c r="A227" s="28" t="s">
        <v>249</v>
      </c>
      <c r="B227" s="58" t="s">
        <v>15</v>
      </c>
      <c r="C227" s="58" t="s">
        <v>5</v>
      </c>
      <c r="D227" s="60" t="s">
        <v>135</v>
      </c>
      <c r="E227" s="58"/>
      <c r="F227" s="40">
        <f>F228</f>
        <v>11344.2</v>
      </c>
      <c r="G227" s="40">
        <f>G228</f>
        <v>11344.2</v>
      </c>
      <c r="H227" s="40">
        <f>H228</f>
        <v>11060.6</v>
      </c>
      <c r="I227" s="40">
        <f>I228</f>
        <v>10777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</row>
    <row r="228" spans="1:166" ht="31.25" x14ac:dyDescent="0.3">
      <c r="A228" s="7" t="s">
        <v>37</v>
      </c>
      <c r="B228" s="58" t="s">
        <v>15</v>
      </c>
      <c r="C228" s="58" t="s">
        <v>5</v>
      </c>
      <c r="D228" s="60" t="s">
        <v>135</v>
      </c>
      <c r="E228" s="58">
        <v>600</v>
      </c>
      <c r="F228" s="40">
        <v>11344.2</v>
      </c>
      <c r="G228" s="40">
        <v>11344.2</v>
      </c>
      <c r="H228" s="41">
        <f>ROUND(F228*0.975,1)</f>
        <v>11060.6</v>
      </c>
      <c r="I228" s="41">
        <f>ROUND(G228*0.95,1)</f>
        <v>10777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</row>
    <row r="229" spans="1:166" s="1" customFormat="1" ht="31.95" x14ac:dyDescent="0.3">
      <c r="A229" s="28" t="s">
        <v>388</v>
      </c>
      <c r="B229" s="58" t="s">
        <v>15</v>
      </c>
      <c r="C229" s="58" t="s">
        <v>5</v>
      </c>
      <c r="D229" s="60" t="s">
        <v>274</v>
      </c>
      <c r="E229" s="58"/>
      <c r="F229" s="40">
        <f>F230</f>
        <v>1500</v>
      </c>
      <c r="G229" s="40">
        <f t="shared" ref="G229:I230" si="22">G230</f>
        <v>1500</v>
      </c>
      <c r="H229" s="40">
        <f t="shared" si="22"/>
        <v>1462.5</v>
      </c>
      <c r="I229" s="40">
        <f t="shared" si="22"/>
        <v>1425</v>
      </c>
    </row>
    <row r="230" spans="1:166" s="1" customFormat="1" ht="31.95" x14ac:dyDescent="0.3">
      <c r="A230" s="28" t="s">
        <v>275</v>
      </c>
      <c r="B230" s="58" t="s">
        <v>15</v>
      </c>
      <c r="C230" s="58" t="s">
        <v>5</v>
      </c>
      <c r="D230" s="60" t="s">
        <v>276</v>
      </c>
      <c r="E230" s="58"/>
      <c r="F230" s="40">
        <f>F231</f>
        <v>1500</v>
      </c>
      <c r="G230" s="40">
        <f t="shared" si="22"/>
        <v>1500</v>
      </c>
      <c r="H230" s="40">
        <f t="shared" si="22"/>
        <v>1462.5</v>
      </c>
      <c r="I230" s="40">
        <f t="shared" si="22"/>
        <v>1425</v>
      </c>
    </row>
    <row r="231" spans="1:166" s="1" customFormat="1" ht="18.350000000000001" x14ac:dyDescent="0.3">
      <c r="A231" s="28" t="s">
        <v>249</v>
      </c>
      <c r="B231" s="58" t="s">
        <v>15</v>
      </c>
      <c r="C231" s="58" t="s">
        <v>5</v>
      </c>
      <c r="D231" s="60" t="s">
        <v>125</v>
      </c>
      <c r="E231" s="58"/>
      <c r="F231" s="40">
        <f>F232</f>
        <v>1500</v>
      </c>
      <c r="G231" s="40">
        <f>G232</f>
        <v>1500</v>
      </c>
      <c r="H231" s="40">
        <f>H232</f>
        <v>1462.5</v>
      </c>
      <c r="I231" s="40">
        <f>I232</f>
        <v>1425</v>
      </c>
    </row>
    <row r="232" spans="1:166" s="1" customFormat="1" ht="31.25" x14ac:dyDescent="0.3">
      <c r="A232" s="7" t="s">
        <v>37</v>
      </c>
      <c r="B232" s="58" t="s">
        <v>15</v>
      </c>
      <c r="C232" s="58" t="s">
        <v>5</v>
      </c>
      <c r="D232" s="60" t="s">
        <v>125</v>
      </c>
      <c r="E232" s="58">
        <v>600</v>
      </c>
      <c r="F232" s="40">
        <v>1500</v>
      </c>
      <c r="G232" s="40">
        <v>1500</v>
      </c>
      <c r="H232" s="41">
        <f>ROUND(F232*0.975,1)</f>
        <v>1462.5</v>
      </c>
      <c r="I232" s="41">
        <f>ROUND(G232*0.95,1)</f>
        <v>1425</v>
      </c>
    </row>
    <row r="233" spans="1:166" s="1" customFormat="1" ht="62.5" x14ac:dyDescent="0.3">
      <c r="A233" s="7" t="s">
        <v>389</v>
      </c>
      <c r="B233" s="69" t="s">
        <v>15</v>
      </c>
      <c r="C233" s="58" t="s">
        <v>5</v>
      </c>
      <c r="D233" s="60" t="s">
        <v>277</v>
      </c>
      <c r="E233" s="58"/>
      <c r="F233" s="40">
        <f>F234</f>
        <v>98.8</v>
      </c>
      <c r="G233" s="40">
        <f t="shared" ref="G233:I234" si="23">G234</f>
        <v>102.8</v>
      </c>
      <c r="H233" s="40">
        <f t="shared" si="23"/>
        <v>96.3</v>
      </c>
      <c r="I233" s="40">
        <f t="shared" si="23"/>
        <v>97.7</v>
      </c>
    </row>
    <row r="234" spans="1:166" s="1" customFormat="1" ht="31.95" x14ac:dyDescent="0.3">
      <c r="A234" s="28" t="s">
        <v>278</v>
      </c>
      <c r="B234" s="69" t="s">
        <v>15</v>
      </c>
      <c r="C234" s="58" t="s">
        <v>5</v>
      </c>
      <c r="D234" s="68" t="s">
        <v>279</v>
      </c>
      <c r="E234" s="58"/>
      <c r="F234" s="40">
        <f>F235</f>
        <v>98.8</v>
      </c>
      <c r="G234" s="40">
        <f t="shared" si="23"/>
        <v>102.8</v>
      </c>
      <c r="H234" s="40">
        <f t="shared" si="23"/>
        <v>96.3</v>
      </c>
      <c r="I234" s="40">
        <f t="shared" si="23"/>
        <v>97.7</v>
      </c>
    </row>
    <row r="235" spans="1:166" s="1" customFormat="1" ht="18.350000000000001" x14ac:dyDescent="0.3">
      <c r="A235" s="7" t="s">
        <v>249</v>
      </c>
      <c r="B235" s="69" t="s">
        <v>15</v>
      </c>
      <c r="C235" s="58" t="s">
        <v>5</v>
      </c>
      <c r="D235" s="68" t="s">
        <v>280</v>
      </c>
      <c r="E235" s="61"/>
      <c r="F235" s="42">
        <f>F236</f>
        <v>98.8</v>
      </c>
      <c r="G235" s="42">
        <f>G236</f>
        <v>102.8</v>
      </c>
      <c r="H235" s="42">
        <f>H236</f>
        <v>96.3</v>
      </c>
      <c r="I235" s="42">
        <f>I236</f>
        <v>97.7</v>
      </c>
    </row>
    <row r="236" spans="1:166" s="1" customFormat="1" ht="31.25" x14ac:dyDescent="0.3">
      <c r="A236" s="7" t="s">
        <v>37</v>
      </c>
      <c r="B236" s="69" t="s">
        <v>15</v>
      </c>
      <c r="C236" s="58" t="s">
        <v>5</v>
      </c>
      <c r="D236" s="68" t="s">
        <v>280</v>
      </c>
      <c r="E236" s="61">
        <v>600</v>
      </c>
      <c r="F236" s="42">
        <v>98.8</v>
      </c>
      <c r="G236" s="42">
        <v>102.8</v>
      </c>
      <c r="H236" s="41">
        <f>ROUND(F236*0.975,1)</f>
        <v>96.3</v>
      </c>
      <c r="I236" s="41">
        <f>ROUND(G236*0.95,1)</f>
        <v>97.7</v>
      </c>
    </row>
    <row r="237" spans="1:166" s="1" customFormat="1" ht="18.350000000000001" x14ac:dyDescent="0.3">
      <c r="A237" s="7" t="s">
        <v>85</v>
      </c>
      <c r="B237" s="61" t="s">
        <v>15</v>
      </c>
      <c r="C237" s="58" t="s">
        <v>7</v>
      </c>
      <c r="D237" s="62"/>
      <c r="E237" s="61"/>
      <c r="F237" s="42">
        <f>F238+F253+F247</f>
        <v>102180.6</v>
      </c>
      <c r="G237" s="42">
        <f>G238+G253+G247</f>
        <v>102357.4</v>
      </c>
      <c r="H237" s="42">
        <f>H238+H253+H247</f>
        <v>99626.099999999991</v>
      </c>
      <c r="I237" s="42">
        <f>I238+I253+I247</f>
        <v>97239.599999999991</v>
      </c>
    </row>
    <row r="238" spans="1:166" s="1" customFormat="1" ht="31.25" x14ac:dyDescent="0.3">
      <c r="A238" s="7" t="s">
        <v>377</v>
      </c>
      <c r="B238" s="58" t="s">
        <v>15</v>
      </c>
      <c r="C238" s="58" t="s">
        <v>7</v>
      </c>
      <c r="D238" s="60" t="s">
        <v>121</v>
      </c>
      <c r="E238" s="58"/>
      <c r="F238" s="40">
        <f t="shared" ref="F238:I239" si="24">F239</f>
        <v>101511.20000000001</v>
      </c>
      <c r="G238" s="40">
        <f>G239</f>
        <v>101688</v>
      </c>
      <c r="H238" s="40">
        <f t="shared" si="24"/>
        <v>98973.4</v>
      </c>
      <c r="I238" s="40">
        <f t="shared" si="24"/>
        <v>96603.7</v>
      </c>
    </row>
    <row r="239" spans="1:166" s="1" customFormat="1" ht="18.350000000000001" x14ac:dyDescent="0.3">
      <c r="A239" s="28" t="s">
        <v>286</v>
      </c>
      <c r="B239" s="58" t="s">
        <v>15</v>
      </c>
      <c r="C239" s="58" t="s">
        <v>7</v>
      </c>
      <c r="D239" s="60" t="s">
        <v>287</v>
      </c>
      <c r="E239" s="58"/>
      <c r="F239" s="40">
        <f t="shared" si="24"/>
        <v>101511.20000000001</v>
      </c>
      <c r="G239" s="40">
        <f>G240</f>
        <v>101688</v>
      </c>
      <c r="H239" s="40">
        <f t="shared" si="24"/>
        <v>98973.4</v>
      </c>
      <c r="I239" s="40">
        <f t="shared" si="24"/>
        <v>96603.7</v>
      </c>
    </row>
    <row r="240" spans="1:166" ht="31.25" x14ac:dyDescent="0.3">
      <c r="A240" s="7" t="s">
        <v>81</v>
      </c>
      <c r="B240" s="58" t="s">
        <v>15</v>
      </c>
      <c r="C240" s="58" t="s">
        <v>7</v>
      </c>
      <c r="D240" s="60" t="s">
        <v>128</v>
      </c>
      <c r="E240" s="58"/>
      <c r="F240" s="40">
        <f>F241+F243+F245</f>
        <v>101511.20000000001</v>
      </c>
      <c r="G240" s="40">
        <f>G241+G243+G245</f>
        <v>101688</v>
      </c>
      <c r="H240" s="40">
        <f>H241+H243+H245</f>
        <v>98973.4</v>
      </c>
      <c r="I240" s="40">
        <f>I241+I243+I245</f>
        <v>96603.7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</row>
    <row r="241" spans="1:166" s="1" customFormat="1" ht="31.25" x14ac:dyDescent="0.3">
      <c r="A241" s="7" t="s">
        <v>62</v>
      </c>
      <c r="B241" s="58" t="s">
        <v>15</v>
      </c>
      <c r="C241" s="58" t="s">
        <v>7</v>
      </c>
      <c r="D241" s="60" t="s">
        <v>130</v>
      </c>
      <c r="E241" s="58"/>
      <c r="F241" s="40">
        <f>F242</f>
        <v>26140.800000000003</v>
      </c>
      <c r="G241" s="40">
        <f>G242</f>
        <v>26247</v>
      </c>
      <c r="H241" s="40">
        <f>H242</f>
        <v>24937.3</v>
      </c>
      <c r="I241" s="40">
        <f>I242</f>
        <v>23834.7</v>
      </c>
    </row>
    <row r="242" spans="1:166" s="1" customFormat="1" ht="31.25" x14ac:dyDescent="0.3">
      <c r="A242" s="7" t="s">
        <v>37</v>
      </c>
      <c r="B242" s="58" t="s">
        <v>15</v>
      </c>
      <c r="C242" s="58" t="s">
        <v>7</v>
      </c>
      <c r="D242" s="60" t="s">
        <v>130</v>
      </c>
      <c r="E242" s="58">
        <v>600</v>
      </c>
      <c r="F242" s="40">
        <f>48240.8-F246-F254</f>
        <v>26140.800000000003</v>
      </c>
      <c r="G242" s="40">
        <f>48347-G246-G254</f>
        <v>26247</v>
      </c>
      <c r="H242" s="41">
        <f>ROUND(F242*0.975-(H246*0.025),1)</f>
        <v>24937.3</v>
      </c>
      <c r="I242" s="41">
        <f>ROUND(G242*0.95-(I246*0.05),1)</f>
        <v>23834.7</v>
      </c>
    </row>
    <row r="243" spans="1:166" ht="46.9" x14ac:dyDescent="0.3">
      <c r="A243" s="7" t="s">
        <v>63</v>
      </c>
      <c r="B243" s="58" t="s">
        <v>15</v>
      </c>
      <c r="C243" s="60" t="s">
        <v>7</v>
      </c>
      <c r="D243" s="60" t="s">
        <v>129</v>
      </c>
      <c r="E243" s="58"/>
      <c r="F243" s="40">
        <f>F244</f>
        <v>53370.400000000001</v>
      </c>
      <c r="G243" s="40">
        <f>G244</f>
        <v>53441</v>
      </c>
      <c r="H243" s="40">
        <f>H244</f>
        <v>52036.1</v>
      </c>
      <c r="I243" s="40">
        <f>I244</f>
        <v>50769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</row>
    <row r="244" spans="1:166" ht="31.25" x14ac:dyDescent="0.3">
      <c r="A244" s="7" t="s">
        <v>37</v>
      </c>
      <c r="B244" s="58" t="s">
        <v>15</v>
      </c>
      <c r="C244" s="60" t="s">
        <v>7</v>
      </c>
      <c r="D244" s="60" t="s">
        <v>129</v>
      </c>
      <c r="E244" s="58">
        <v>600</v>
      </c>
      <c r="F244" s="40">
        <v>53370.400000000001</v>
      </c>
      <c r="G244" s="40">
        <v>53441</v>
      </c>
      <c r="H244" s="41">
        <f>ROUND(F244*0.975,1)</f>
        <v>52036.1</v>
      </c>
      <c r="I244" s="41">
        <f>ROUND(G244*0.95,1)</f>
        <v>50769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</row>
    <row r="245" spans="1:166" s="1" customFormat="1" ht="62.5" x14ac:dyDescent="0.3">
      <c r="A245" s="7" t="s">
        <v>194</v>
      </c>
      <c r="B245" s="58" t="s">
        <v>15</v>
      </c>
      <c r="C245" s="58" t="s">
        <v>7</v>
      </c>
      <c r="D245" s="60" t="s">
        <v>193</v>
      </c>
      <c r="E245" s="58"/>
      <c r="F245" s="40">
        <f>F246</f>
        <v>22000</v>
      </c>
      <c r="G245" s="40">
        <f>G246</f>
        <v>22000</v>
      </c>
      <c r="H245" s="40">
        <f>H246</f>
        <v>22000</v>
      </c>
      <c r="I245" s="40">
        <f>I246</f>
        <v>22000</v>
      </c>
    </row>
    <row r="246" spans="1:166" s="1" customFormat="1" ht="31.25" x14ac:dyDescent="0.3">
      <c r="A246" s="7" t="s">
        <v>37</v>
      </c>
      <c r="B246" s="58" t="s">
        <v>15</v>
      </c>
      <c r="C246" s="58" t="s">
        <v>7</v>
      </c>
      <c r="D246" s="60" t="s">
        <v>193</v>
      </c>
      <c r="E246" s="58">
        <v>600</v>
      </c>
      <c r="F246" s="40">
        <v>22000</v>
      </c>
      <c r="G246" s="40">
        <v>22000</v>
      </c>
      <c r="H246" s="41">
        <f>F246</f>
        <v>22000</v>
      </c>
      <c r="I246" s="41">
        <f>G246</f>
        <v>22000</v>
      </c>
    </row>
    <row r="247" spans="1:166" s="1" customFormat="1" ht="62.5" x14ac:dyDescent="0.3">
      <c r="A247" s="7" t="s">
        <v>392</v>
      </c>
      <c r="B247" s="58" t="s">
        <v>15</v>
      </c>
      <c r="C247" s="58" t="s">
        <v>7</v>
      </c>
      <c r="D247" s="60" t="s">
        <v>309</v>
      </c>
      <c r="E247" s="58"/>
      <c r="F247" s="40">
        <f>F248</f>
        <v>569.4</v>
      </c>
      <c r="G247" s="40">
        <f t="shared" ref="G247:I248" si="25">G248</f>
        <v>569.4</v>
      </c>
      <c r="H247" s="40">
        <f t="shared" si="25"/>
        <v>555.20000000000005</v>
      </c>
      <c r="I247" s="40">
        <f t="shared" si="25"/>
        <v>540.9</v>
      </c>
    </row>
    <row r="248" spans="1:166" s="1" customFormat="1" ht="31.95" x14ac:dyDescent="0.3">
      <c r="A248" s="28" t="s">
        <v>310</v>
      </c>
      <c r="B248" s="58" t="s">
        <v>15</v>
      </c>
      <c r="C248" s="58" t="s">
        <v>7</v>
      </c>
      <c r="D248" s="60" t="s">
        <v>311</v>
      </c>
      <c r="E248" s="58"/>
      <c r="F248" s="40">
        <f>F249</f>
        <v>569.4</v>
      </c>
      <c r="G248" s="40">
        <f t="shared" si="25"/>
        <v>569.4</v>
      </c>
      <c r="H248" s="40">
        <f t="shared" si="25"/>
        <v>555.20000000000005</v>
      </c>
      <c r="I248" s="40">
        <f t="shared" si="25"/>
        <v>540.9</v>
      </c>
    </row>
    <row r="249" spans="1:166" ht="18.350000000000001" x14ac:dyDescent="0.3">
      <c r="A249" s="28" t="s">
        <v>249</v>
      </c>
      <c r="B249" s="58" t="s">
        <v>15</v>
      </c>
      <c r="C249" s="58" t="s">
        <v>7</v>
      </c>
      <c r="D249" s="60" t="s">
        <v>135</v>
      </c>
      <c r="E249" s="58"/>
      <c r="F249" s="40">
        <f>F250</f>
        <v>569.4</v>
      </c>
      <c r="G249" s="40">
        <f>G250</f>
        <v>569.4</v>
      </c>
      <c r="H249" s="40">
        <f>H250</f>
        <v>555.20000000000005</v>
      </c>
      <c r="I249" s="40">
        <f>I250</f>
        <v>540.9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</row>
    <row r="250" spans="1:166" ht="31.25" x14ac:dyDescent="0.3">
      <c r="A250" s="7" t="s">
        <v>37</v>
      </c>
      <c r="B250" s="58" t="s">
        <v>15</v>
      </c>
      <c r="C250" s="58" t="s">
        <v>7</v>
      </c>
      <c r="D250" s="60" t="s">
        <v>135</v>
      </c>
      <c r="E250" s="58">
        <v>600</v>
      </c>
      <c r="F250" s="40">
        <v>569.4</v>
      </c>
      <c r="G250" s="40">
        <v>569.4</v>
      </c>
      <c r="H250" s="41">
        <f>ROUND(F250*0.975,1)</f>
        <v>555.20000000000005</v>
      </c>
      <c r="I250" s="41">
        <f>ROUND(G250*0.95,1)</f>
        <v>540.9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</row>
    <row r="251" spans="1:166" s="1" customFormat="1" ht="31.95" x14ac:dyDescent="0.3">
      <c r="A251" s="28" t="s">
        <v>388</v>
      </c>
      <c r="B251" s="69" t="s">
        <v>15</v>
      </c>
      <c r="C251" s="58" t="s">
        <v>7</v>
      </c>
      <c r="D251" s="60" t="s">
        <v>274</v>
      </c>
      <c r="E251" s="58"/>
      <c r="F251" s="40">
        <f>F252</f>
        <v>100</v>
      </c>
      <c r="G251" s="40">
        <f t="shared" ref="G251:I252" si="26">G252</f>
        <v>100</v>
      </c>
      <c r="H251" s="40">
        <f t="shared" si="26"/>
        <v>97.5</v>
      </c>
      <c r="I251" s="40">
        <f t="shared" si="26"/>
        <v>95</v>
      </c>
    </row>
    <row r="252" spans="1:166" s="1" customFormat="1" ht="31.95" x14ac:dyDescent="0.3">
      <c r="A252" s="28" t="s">
        <v>275</v>
      </c>
      <c r="B252" s="69" t="s">
        <v>15</v>
      </c>
      <c r="C252" s="58" t="s">
        <v>7</v>
      </c>
      <c r="D252" s="60" t="s">
        <v>276</v>
      </c>
      <c r="E252" s="58"/>
      <c r="F252" s="40">
        <f>F253</f>
        <v>100</v>
      </c>
      <c r="G252" s="40">
        <f t="shared" si="26"/>
        <v>100</v>
      </c>
      <c r="H252" s="40">
        <f t="shared" si="26"/>
        <v>97.5</v>
      </c>
      <c r="I252" s="40">
        <f t="shared" si="26"/>
        <v>95</v>
      </c>
    </row>
    <row r="253" spans="1:166" s="1" customFormat="1" ht="18.350000000000001" x14ac:dyDescent="0.3">
      <c r="A253" s="28" t="s">
        <v>249</v>
      </c>
      <c r="B253" s="69" t="s">
        <v>15</v>
      </c>
      <c r="C253" s="58" t="s">
        <v>7</v>
      </c>
      <c r="D253" s="60" t="s">
        <v>125</v>
      </c>
      <c r="E253" s="58"/>
      <c r="F253" s="40">
        <f>F254</f>
        <v>100</v>
      </c>
      <c r="G253" s="40">
        <f>G254</f>
        <v>100</v>
      </c>
      <c r="H253" s="40">
        <f>H254</f>
        <v>97.5</v>
      </c>
      <c r="I253" s="40">
        <f>I254</f>
        <v>95</v>
      </c>
    </row>
    <row r="254" spans="1:166" s="1" customFormat="1" ht="31.25" x14ac:dyDescent="0.3">
      <c r="A254" s="7" t="s">
        <v>37</v>
      </c>
      <c r="B254" s="69" t="s">
        <v>15</v>
      </c>
      <c r="C254" s="58" t="s">
        <v>7</v>
      </c>
      <c r="D254" s="60" t="s">
        <v>125</v>
      </c>
      <c r="E254" s="58">
        <v>600</v>
      </c>
      <c r="F254" s="40">
        <v>100</v>
      </c>
      <c r="G254" s="40">
        <v>100</v>
      </c>
      <c r="H254" s="41">
        <f>ROUND(F254*0.975,1)</f>
        <v>97.5</v>
      </c>
      <c r="I254" s="41">
        <f>ROUND(G254*0.95,1)</f>
        <v>95</v>
      </c>
    </row>
    <row r="255" spans="1:166" ht="18.350000000000001" x14ac:dyDescent="0.3">
      <c r="A255" s="7" t="s">
        <v>179</v>
      </c>
      <c r="B255" s="58" t="s">
        <v>15</v>
      </c>
      <c r="C255" s="58" t="s">
        <v>15</v>
      </c>
      <c r="D255" s="60"/>
      <c r="E255" s="58"/>
      <c r="F255" s="40">
        <f>F256+F260+F264</f>
        <v>53711.6</v>
      </c>
      <c r="G255" s="40">
        <f>G256+G260+G264</f>
        <v>53855.4</v>
      </c>
      <c r="H255" s="40">
        <f>H256+H260+H264</f>
        <v>52926.7</v>
      </c>
      <c r="I255" s="40">
        <f>I256+I260+I264</f>
        <v>52278.7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</row>
    <row r="256" spans="1:166" ht="46.9" x14ac:dyDescent="0.3">
      <c r="A256" s="7" t="s">
        <v>390</v>
      </c>
      <c r="B256" s="58" t="s">
        <v>15</v>
      </c>
      <c r="C256" s="58" t="s">
        <v>15</v>
      </c>
      <c r="D256" s="60" t="s">
        <v>246</v>
      </c>
      <c r="E256" s="58"/>
      <c r="F256" s="40">
        <f>F257</f>
        <v>3134.4</v>
      </c>
      <c r="G256" s="40">
        <f t="shared" ref="G256:I257" si="27">G257</f>
        <v>3139</v>
      </c>
      <c r="H256" s="40">
        <f t="shared" si="27"/>
        <v>3056</v>
      </c>
      <c r="I256" s="40">
        <f t="shared" si="27"/>
        <v>2982.1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</row>
    <row r="257" spans="1:166" ht="31.95" x14ac:dyDescent="0.3">
      <c r="A257" s="28" t="s">
        <v>247</v>
      </c>
      <c r="B257" s="58" t="s">
        <v>15</v>
      </c>
      <c r="C257" s="58" t="s">
        <v>15</v>
      </c>
      <c r="D257" s="60" t="s">
        <v>248</v>
      </c>
      <c r="E257" s="58"/>
      <c r="F257" s="40">
        <f>F258</f>
        <v>3134.4</v>
      </c>
      <c r="G257" s="40">
        <f t="shared" si="27"/>
        <v>3139</v>
      </c>
      <c r="H257" s="40">
        <f t="shared" si="27"/>
        <v>3056</v>
      </c>
      <c r="I257" s="40">
        <f t="shared" si="27"/>
        <v>2982.1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</row>
    <row r="258" spans="1:166" ht="18.350000000000001" x14ac:dyDescent="0.3">
      <c r="A258" s="29" t="s">
        <v>249</v>
      </c>
      <c r="B258" s="58" t="s">
        <v>15</v>
      </c>
      <c r="C258" s="58" t="s">
        <v>15</v>
      </c>
      <c r="D258" s="62" t="s">
        <v>113</v>
      </c>
      <c r="E258" s="64"/>
      <c r="F258" s="40">
        <f>F259</f>
        <v>3134.4</v>
      </c>
      <c r="G258" s="40">
        <f>G259</f>
        <v>3139</v>
      </c>
      <c r="H258" s="40">
        <f>H259</f>
        <v>3056</v>
      </c>
      <c r="I258" s="40">
        <f>I259</f>
        <v>2982.1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</row>
    <row r="259" spans="1:166" ht="31.25" x14ac:dyDescent="0.3">
      <c r="A259" s="7" t="s">
        <v>37</v>
      </c>
      <c r="B259" s="58" t="s">
        <v>15</v>
      </c>
      <c r="C259" s="58" t="s">
        <v>15</v>
      </c>
      <c r="D259" s="62" t="s">
        <v>113</v>
      </c>
      <c r="E259" s="58">
        <v>600</v>
      </c>
      <c r="F259" s="40">
        <v>3134.4</v>
      </c>
      <c r="G259" s="40">
        <v>3139</v>
      </c>
      <c r="H259" s="41">
        <f>ROUND(F259*0.975,1)</f>
        <v>3056</v>
      </c>
      <c r="I259" s="41">
        <f>ROUND(G259*0.95,1)</f>
        <v>2982.1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</row>
    <row r="260" spans="1:166" ht="62.5" x14ac:dyDescent="0.3">
      <c r="A260" s="7" t="s">
        <v>389</v>
      </c>
      <c r="B260" s="66">
        <v>7</v>
      </c>
      <c r="C260" s="66">
        <v>7</v>
      </c>
      <c r="D260" s="67" t="s">
        <v>277</v>
      </c>
      <c r="E260" s="58"/>
      <c r="F260" s="40">
        <f>F261</f>
        <v>1358.7</v>
      </c>
      <c r="G260" s="40">
        <f t="shared" ref="G260:I261" si="28">G261</f>
        <v>1388.9</v>
      </c>
      <c r="H260" s="40">
        <f t="shared" si="28"/>
        <v>1324.7</v>
      </c>
      <c r="I260" s="40">
        <f t="shared" si="28"/>
        <v>1319.5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</row>
    <row r="261" spans="1:166" ht="31.95" x14ac:dyDescent="0.3">
      <c r="A261" s="28" t="s">
        <v>291</v>
      </c>
      <c r="B261" s="66">
        <v>7</v>
      </c>
      <c r="C261" s="66">
        <v>7</v>
      </c>
      <c r="D261" s="67" t="s">
        <v>292</v>
      </c>
      <c r="E261" s="58"/>
      <c r="F261" s="40">
        <f>F262</f>
        <v>1358.7</v>
      </c>
      <c r="G261" s="40">
        <f t="shared" si="28"/>
        <v>1388.9</v>
      </c>
      <c r="H261" s="40">
        <f t="shared" si="28"/>
        <v>1324.7</v>
      </c>
      <c r="I261" s="40">
        <f t="shared" si="28"/>
        <v>1319.5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</row>
    <row r="262" spans="1:166" ht="18.350000000000001" x14ac:dyDescent="0.3">
      <c r="A262" s="7" t="s">
        <v>249</v>
      </c>
      <c r="B262" s="69" t="s">
        <v>15</v>
      </c>
      <c r="C262" s="69" t="s">
        <v>15</v>
      </c>
      <c r="D262" s="60" t="s">
        <v>293</v>
      </c>
      <c r="E262" s="61"/>
      <c r="F262" s="42">
        <f>F263</f>
        <v>1358.7</v>
      </c>
      <c r="G262" s="42">
        <f>G263</f>
        <v>1388.9</v>
      </c>
      <c r="H262" s="42">
        <f>H263</f>
        <v>1324.7</v>
      </c>
      <c r="I262" s="42">
        <f>I263</f>
        <v>1319.5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</row>
    <row r="263" spans="1:166" ht="31.25" x14ac:dyDescent="0.3">
      <c r="A263" s="8" t="s">
        <v>86</v>
      </c>
      <c r="B263" s="69" t="s">
        <v>15</v>
      </c>
      <c r="C263" s="69" t="s">
        <v>15</v>
      </c>
      <c r="D263" s="60" t="s">
        <v>293</v>
      </c>
      <c r="E263" s="61">
        <v>200</v>
      </c>
      <c r="F263" s="42">
        <v>1358.7</v>
      </c>
      <c r="G263" s="42">
        <v>1388.9</v>
      </c>
      <c r="H263" s="41">
        <f>ROUND(F263*0.975,1)</f>
        <v>1324.7</v>
      </c>
      <c r="I263" s="41">
        <f>ROUND(G263*0.95,1)</f>
        <v>1319.5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</row>
    <row r="264" spans="1:166" s="1" customFormat="1" ht="31.25" x14ac:dyDescent="0.3">
      <c r="A264" s="7" t="s">
        <v>391</v>
      </c>
      <c r="B264" s="58" t="s">
        <v>15</v>
      </c>
      <c r="C264" s="58" t="s">
        <v>15</v>
      </c>
      <c r="D264" s="60" t="s">
        <v>298</v>
      </c>
      <c r="E264" s="58"/>
      <c r="F264" s="40">
        <f>F265+F271</f>
        <v>49218.5</v>
      </c>
      <c r="G264" s="40">
        <f>G265+G271</f>
        <v>49327.5</v>
      </c>
      <c r="H264" s="40">
        <f>H265+H271</f>
        <v>48546</v>
      </c>
      <c r="I264" s="40">
        <f>I265+I271</f>
        <v>47977.1</v>
      </c>
    </row>
    <row r="265" spans="1:166" s="1" customFormat="1" ht="18.350000000000001" x14ac:dyDescent="0.3">
      <c r="A265" s="28" t="s">
        <v>299</v>
      </c>
      <c r="B265" s="58" t="s">
        <v>15</v>
      </c>
      <c r="C265" s="58" t="s">
        <v>15</v>
      </c>
      <c r="D265" s="60" t="s">
        <v>300</v>
      </c>
      <c r="E265" s="58"/>
      <c r="F265" s="40">
        <f>F266</f>
        <v>22544</v>
      </c>
      <c r="G265" s="40">
        <f>G266</f>
        <v>22544</v>
      </c>
      <c r="H265" s="40">
        <f>H266</f>
        <v>22538.399999999998</v>
      </c>
      <c r="I265" s="40">
        <f>I266</f>
        <v>22532.699999999997</v>
      </c>
    </row>
    <row r="266" spans="1:166" s="1" customFormat="1" ht="47.55" x14ac:dyDescent="0.3">
      <c r="A266" s="28" t="s">
        <v>301</v>
      </c>
      <c r="B266" s="58" t="s">
        <v>15</v>
      </c>
      <c r="C266" s="58" t="s">
        <v>15</v>
      </c>
      <c r="D266" s="60" t="s">
        <v>302</v>
      </c>
      <c r="E266" s="58"/>
      <c r="F266" s="40">
        <f>F267+F269</f>
        <v>22544</v>
      </c>
      <c r="G266" s="40">
        <f>G267+G269</f>
        <v>22544</v>
      </c>
      <c r="H266" s="40">
        <f>H267+H269</f>
        <v>22538.399999999998</v>
      </c>
      <c r="I266" s="40">
        <f>I267+I269</f>
        <v>22532.699999999997</v>
      </c>
    </row>
    <row r="267" spans="1:166" s="16" customFormat="1" ht="50.3" customHeight="1" x14ac:dyDescent="0.3">
      <c r="A267" s="28" t="s">
        <v>371</v>
      </c>
      <c r="B267" s="58" t="s">
        <v>15</v>
      </c>
      <c r="C267" s="58" t="s">
        <v>15</v>
      </c>
      <c r="D267" s="67" t="s">
        <v>303</v>
      </c>
      <c r="E267" s="70"/>
      <c r="F267" s="40">
        <f>F268</f>
        <v>22318.6</v>
      </c>
      <c r="G267" s="40">
        <f>G268</f>
        <v>22318.6</v>
      </c>
      <c r="H267" s="40">
        <f>H268</f>
        <v>22318.6</v>
      </c>
      <c r="I267" s="40">
        <f>I268</f>
        <v>22318.6</v>
      </c>
    </row>
    <row r="268" spans="1:166" s="16" customFormat="1" ht="31.25" x14ac:dyDescent="0.3">
      <c r="A268" s="7" t="s">
        <v>86</v>
      </c>
      <c r="B268" s="66">
        <v>7</v>
      </c>
      <c r="C268" s="66">
        <v>7</v>
      </c>
      <c r="D268" s="67" t="s">
        <v>303</v>
      </c>
      <c r="E268" s="60" t="s">
        <v>67</v>
      </c>
      <c r="F268" s="40">
        <v>22318.6</v>
      </c>
      <c r="G268" s="40">
        <v>22318.6</v>
      </c>
      <c r="H268" s="40">
        <f>F268</f>
        <v>22318.6</v>
      </c>
      <c r="I268" s="40">
        <f>G268</f>
        <v>22318.6</v>
      </c>
    </row>
    <row r="269" spans="1:166" ht="46.9" x14ac:dyDescent="0.3">
      <c r="A269" s="34" t="s">
        <v>372</v>
      </c>
      <c r="B269" s="58" t="s">
        <v>15</v>
      </c>
      <c r="C269" s="58" t="s">
        <v>15</v>
      </c>
      <c r="D269" s="60" t="s">
        <v>370</v>
      </c>
      <c r="E269" s="71"/>
      <c r="F269" s="40">
        <f>F270</f>
        <v>225.4</v>
      </c>
      <c r="G269" s="40">
        <f>G270</f>
        <v>225.4</v>
      </c>
      <c r="H269" s="40">
        <f>H270</f>
        <v>219.8</v>
      </c>
      <c r="I269" s="40">
        <f>I270</f>
        <v>214.1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</row>
    <row r="270" spans="1:166" ht="31.25" x14ac:dyDescent="0.3">
      <c r="A270" s="7" t="s">
        <v>37</v>
      </c>
      <c r="B270" s="58" t="s">
        <v>15</v>
      </c>
      <c r="C270" s="58" t="s">
        <v>15</v>
      </c>
      <c r="D270" s="60" t="s">
        <v>370</v>
      </c>
      <c r="E270" s="58">
        <v>600</v>
      </c>
      <c r="F270" s="40">
        <v>225.4</v>
      </c>
      <c r="G270" s="40">
        <v>225.4</v>
      </c>
      <c r="H270" s="41">
        <f>ROUND(F270*0.975,1)</f>
        <v>219.8</v>
      </c>
      <c r="I270" s="41">
        <f>ROUND(G270*0.95,1)</f>
        <v>214.1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</row>
    <row r="271" spans="1:166" ht="18.350000000000001" x14ac:dyDescent="0.3">
      <c r="A271" s="28" t="s">
        <v>288</v>
      </c>
      <c r="B271" s="58" t="s">
        <v>15</v>
      </c>
      <c r="C271" s="58" t="s">
        <v>15</v>
      </c>
      <c r="D271" s="62" t="s">
        <v>376</v>
      </c>
      <c r="E271" s="58"/>
      <c r="F271" s="40">
        <f>F272</f>
        <v>26674.5</v>
      </c>
      <c r="G271" s="40">
        <f>G272</f>
        <v>26783.5</v>
      </c>
      <c r="H271" s="40">
        <f>H272</f>
        <v>26007.600000000002</v>
      </c>
      <c r="I271" s="40">
        <f>I272</f>
        <v>25444.400000000001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</row>
    <row r="272" spans="1:166" ht="31.95" x14ac:dyDescent="0.3">
      <c r="A272" s="28" t="s">
        <v>289</v>
      </c>
      <c r="B272" s="58" t="s">
        <v>15</v>
      </c>
      <c r="C272" s="58" t="s">
        <v>15</v>
      </c>
      <c r="D272" s="62" t="s">
        <v>375</v>
      </c>
      <c r="E272" s="58"/>
      <c r="F272" s="40">
        <f>F273+F275</f>
        <v>26674.5</v>
      </c>
      <c r="G272" s="40">
        <f>G273+G275</f>
        <v>26783.5</v>
      </c>
      <c r="H272" s="40">
        <f>H273+H275</f>
        <v>26007.600000000002</v>
      </c>
      <c r="I272" s="40">
        <f>I273+I275</f>
        <v>25444.400000000001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</row>
    <row r="273" spans="1:166" ht="18.350000000000001" x14ac:dyDescent="0.3">
      <c r="A273" s="28" t="s">
        <v>290</v>
      </c>
      <c r="B273" s="58" t="s">
        <v>15</v>
      </c>
      <c r="C273" s="58" t="s">
        <v>15</v>
      </c>
      <c r="D273" s="60" t="s">
        <v>374</v>
      </c>
      <c r="E273" s="58"/>
      <c r="F273" s="40">
        <f>F274</f>
        <v>826.6</v>
      </c>
      <c r="G273" s="40">
        <f>G274</f>
        <v>826.6</v>
      </c>
      <c r="H273" s="40">
        <f>H274</f>
        <v>805.9</v>
      </c>
      <c r="I273" s="40">
        <f>I274</f>
        <v>785.3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</row>
    <row r="274" spans="1:166" ht="31.25" x14ac:dyDescent="0.3">
      <c r="A274" s="7" t="s">
        <v>86</v>
      </c>
      <c r="B274" s="58" t="s">
        <v>15</v>
      </c>
      <c r="C274" s="58" t="s">
        <v>15</v>
      </c>
      <c r="D274" s="60" t="s">
        <v>374</v>
      </c>
      <c r="E274" s="58">
        <v>200</v>
      </c>
      <c r="F274" s="40">
        <v>826.6</v>
      </c>
      <c r="G274" s="40">
        <v>826.6</v>
      </c>
      <c r="H274" s="41">
        <f>ROUND(F274*0.975,1)</f>
        <v>805.9</v>
      </c>
      <c r="I274" s="41">
        <f>ROUND(G274*0.95,1)</f>
        <v>785.3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</row>
    <row r="275" spans="1:166" ht="31.95" x14ac:dyDescent="0.3">
      <c r="A275" s="28" t="s">
        <v>64</v>
      </c>
      <c r="B275" s="58" t="s">
        <v>15</v>
      </c>
      <c r="C275" s="58" t="s">
        <v>15</v>
      </c>
      <c r="D275" s="68" t="s">
        <v>373</v>
      </c>
      <c r="E275" s="71"/>
      <c r="F275" s="40">
        <f>F276+F277</f>
        <v>25847.9</v>
      </c>
      <c r="G275" s="40">
        <f>G276+G277</f>
        <v>25956.9</v>
      </c>
      <c r="H275" s="40">
        <f>H276+H277</f>
        <v>25201.7</v>
      </c>
      <c r="I275" s="40">
        <f>I276+I277</f>
        <v>24659.100000000002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</row>
    <row r="276" spans="1:166" ht="62.5" x14ac:dyDescent="0.3">
      <c r="A276" s="7" t="s">
        <v>34</v>
      </c>
      <c r="B276" s="58" t="s">
        <v>15</v>
      </c>
      <c r="C276" s="58" t="s">
        <v>15</v>
      </c>
      <c r="D276" s="68" t="s">
        <v>373</v>
      </c>
      <c r="E276" s="68" t="s">
        <v>51</v>
      </c>
      <c r="F276" s="40">
        <v>3457.4</v>
      </c>
      <c r="G276" s="40">
        <v>3457.4</v>
      </c>
      <c r="H276" s="40">
        <f>F276</f>
        <v>3457.4</v>
      </c>
      <c r="I276" s="40">
        <f>G276</f>
        <v>3457.4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</row>
    <row r="277" spans="1:166" ht="31.25" x14ac:dyDescent="0.3">
      <c r="A277" s="7" t="s">
        <v>37</v>
      </c>
      <c r="B277" s="58" t="s">
        <v>15</v>
      </c>
      <c r="C277" s="58" t="s">
        <v>15</v>
      </c>
      <c r="D277" s="68" t="s">
        <v>373</v>
      </c>
      <c r="E277" s="69">
        <v>600</v>
      </c>
      <c r="F277" s="40">
        <f>7669.5+14946.4-F270</f>
        <v>22390.5</v>
      </c>
      <c r="G277" s="40">
        <f>7762+14962.9-G270</f>
        <v>22499.5</v>
      </c>
      <c r="H277" s="41">
        <f>ROUND(F277*0.975-(H276*0.025),1)</f>
        <v>21744.3</v>
      </c>
      <c r="I277" s="41">
        <f>ROUND(G277*0.95-(I276*0.05),1)</f>
        <v>21201.7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</row>
    <row r="278" spans="1:166" ht="18.350000000000001" x14ac:dyDescent="0.3">
      <c r="A278" s="7" t="s">
        <v>65</v>
      </c>
      <c r="B278" s="60" t="s">
        <v>15</v>
      </c>
      <c r="C278" s="60" t="s">
        <v>14</v>
      </c>
      <c r="D278" s="60"/>
      <c r="E278" s="58"/>
      <c r="F278" s="42">
        <f>F279+F297+F301</f>
        <v>225290.5</v>
      </c>
      <c r="G278" s="42">
        <f>G279+G297+G301</f>
        <v>225354.2</v>
      </c>
      <c r="H278" s="42">
        <f>H279+H297+H301</f>
        <v>219786.4</v>
      </c>
      <c r="I278" s="42">
        <f>I279+I297+I301</f>
        <v>214342.8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</row>
    <row r="279" spans="1:166" ht="31.25" x14ac:dyDescent="0.3">
      <c r="A279" s="7" t="s">
        <v>377</v>
      </c>
      <c r="B279" s="60" t="s">
        <v>15</v>
      </c>
      <c r="C279" s="60" t="s">
        <v>14</v>
      </c>
      <c r="D279" s="60" t="s">
        <v>121</v>
      </c>
      <c r="E279" s="58"/>
      <c r="F279" s="42">
        <f>F280+F285</f>
        <v>225015.5</v>
      </c>
      <c r="G279" s="42">
        <f>G280+G285</f>
        <v>225079.2</v>
      </c>
      <c r="H279" s="42">
        <f>H280+H285</f>
        <v>219518.3</v>
      </c>
      <c r="I279" s="42">
        <f>I280+I285</f>
        <v>214081.5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</row>
    <row r="280" spans="1:166" ht="18.350000000000001" x14ac:dyDescent="0.3">
      <c r="A280" s="28" t="s">
        <v>217</v>
      </c>
      <c r="B280" s="60" t="s">
        <v>15</v>
      </c>
      <c r="C280" s="60" t="s">
        <v>14</v>
      </c>
      <c r="D280" s="60" t="s">
        <v>218</v>
      </c>
      <c r="E280" s="58"/>
      <c r="F280" s="42">
        <f t="shared" ref="F280:I281" si="29">F281</f>
        <v>5123.8</v>
      </c>
      <c r="G280" s="42">
        <f t="shared" si="29"/>
        <v>5123.8</v>
      </c>
      <c r="H280" s="42">
        <f t="shared" si="29"/>
        <v>5123.8</v>
      </c>
      <c r="I280" s="42">
        <f t="shared" si="29"/>
        <v>5123.8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</row>
    <row r="281" spans="1:166" ht="109.4" x14ac:dyDescent="0.3">
      <c r="A281" s="7" t="s">
        <v>75</v>
      </c>
      <c r="B281" s="58" t="s">
        <v>15</v>
      </c>
      <c r="C281" s="58" t="s">
        <v>14</v>
      </c>
      <c r="D281" s="60" t="s">
        <v>126</v>
      </c>
      <c r="E281" s="58"/>
      <c r="F281" s="40">
        <f t="shared" si="29"/>
        <v>5123.8</v>
      </c>
      <c r="G281" s="48">
        <f t="shared" si="29"/>
        <v>5123.8</v>
      </c>
      <c r="H281" s="40">
        <f t="shared" si="29"/>
        <v>5123.8</v>
      </c>
      <c r="I281" s="40">
        <f t="shared" si="29"/>
        <v>5123.8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</row>
    <row r="282" spans="1:166" ht="46.9" x14ac:dyDescent="0.3">
      <c r="A282" s="7" t="s">
        <v>180</v>
      </c>
      <c r="B282" s="58" t="s">
        <v>15</v>
      </c>
      <c r="C282" s="58" t="s">
        <v>14</v>
      </c>
      <c r="D282" s="60" t="s">
        <v>131</v>
      </c>
      <c r="E282" s="58"/>
      <c r="F282" s="40">
        <f>F283+F284</f>
        <v>5123.8</v>
      </c>
      <c r="G282" s="40">
        <f>G283+G284</f>
        <v>5123.8</v>
      </c>
      <c r="H282" s="40">
        <f>H283+H284</f>
        <v>5123.8</v>
      </c>
      <c r="I282" s="40">
        <f>I283+I284</f>
        <v>5123.8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</row>
    <row r="283" spans="1:166" ht="62.5" x14ac:dyDescent="0.3">
      <c r="A283" s="7" t="s">
        <v>34</v>
      </c>
      <c r="B283" s="58" t="s">
        <v>15</v>
      </c>
      <c r="C283" s="58" t="s">
        <v>14</v>
      </c>
      <c r="D283" s="60" t="s">
        <v>131</v>
      </c>
      <c r="E283" s="58">
        <v>100</v>
      </c>
      <c r="F283" s="40">
        <v>4421</v>
      </c>
      <c r="G283" s="48">
        <v>4421</v>
      </c>
      <c r="H283" s="40">
        <f>F283</f>
        <v>4421</v>
      </c>
      <c r="I283" s="40">
        <f>G283</f>
        <v>4421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</row>
    <row r="284" spans="1:166" ht="31.25" x14ac:dyDescent="0.3">
      <c r="A284" s="8" t="s">
        <v>86</v>
      </c>
      <c r="B284" s="58" t="s">
        <v>15</v>
      </c>
      <c r="C284" s="58" t="s">
        <v>14</v>
      </c>
      <c r="D284" s="60" t="s">
        <v>131</v>
      </c>
      <c r="E284" s="58">
        <v>200</v>
      </c>
      <c r="F284" s="40">
        <v>702.8</v>
      </c>
      <c r="G284" s="48">
        <v>702.8</v>
      </c>
      <c r="H284" s="40">
        <f>F284</f>
        <v>702.8</v>
      </c>
      <c r="I284" s="40">
        <f>G284</f>
        <v>702.8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</row>
    <row r="285" spans="1:166" ht="31.95" x14ac:dyDescent="0.3">
      <c r="A285" s="28" t="s">
        <v>304</v>
      </c>
      <c r="B285" s="58" t="s">
        <v>15</v>
      </c>
      <c r="C285" s="58" t="s">
        <v>14</v>
      </c>
      <c r="D285" s="60" t="s">
        <v>305</v>
      </c>
      <c r="E285" s="58"/>
      <c r="F285" s="40">
        <f>F286+F292</f>
        <v>219891.7</v>
      </c>
      <c r="G285" s="40">
        <f>G286+G292</f>
        <v>219955.40000000002</v>
      </c>
      <c r="H285" s="40">
        <f>H286+H292</f>
        <v>214394.5</v>
      </c>
      <c r="I285" s="40">
        <f>I286+I292</f>
        <v>208957.7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</row>
    <row r="286" spans="1:166" ht="31.25" x14ac:dyDescent="0.3">
      <c r="A286" s="7" t="s">
        <v>76</v>
      </c>
      <c r="B286" s="58" t="s">
        <v>15</v>
      </c>
      <c r="C286" s="58" t="s">
        <v>14</v>
      </c>
      <c r="D286" s="60" t="s">
        <v>132</v>
      </c>
      <c r="E286" s="58"/>
      <c r="F286" s="40">
        <f>F287</f>
        <v>169131.30000000002</v>
      </c>
      <c r="G286" s="40">
        <f>G287</f>
        <v>169157.80000000002</v>
      </c>
      <c r="H286" s="40">
        <f>H287</f>
        <v>164903.1</v>
      </c>
      <c r="I286" s="40">
        <f>I287</f>
        <v>160699.90000000002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</row>
    <row r="287" spans="1:166" ht="31.95" x14ac:dyDescent="0.3">
      <c r="A287" s="28" t="s">
        <v>306</v>
      </c>
      <c r="B287" s="58" t="s">
        <v>15</v>
      </c>
      <c r="C287" s="58" t="s">
        <v>14</v>
      </c>
      <c r="D287" s="60" t="s">
        <v>133</v>
      </c>
      <c r="E287" s="58"/>
      <c r="F287" s="40">
        <f>F288+F289+F290+F291</f>
        <v>169131.30000000002</v>
      </c>
      <c r="G287" s="40">
        <f>G288+G289+G290+G291</f>
        <v>169157.80000000002</v>
      </c>
      <c r="H287" s="40">
        <f>H288+H289+H290+H291</f>
        <v>164903.1</v>
      </c>
      <c r="I287" s="40">
        <f>I288+I289+I290+I291</f>
        <v>160699.90000000002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</row>
    <row r="288" spans="1:166" ht="62.5" x14ac:dyDescent="0.3">
      <c r="A288" s="7" t="s">
        <v>34</v>
      </c>
      <c r="B288" s="58" t="s">
        <v>15</v>
      </c>
      <c r="C288" s="58" t="s">
        <v>14</v>
      </c>
      <c r="D288" s="60" t="s">
        <v>133</v>
      </c>
      <c r="E288" s="58">
        <v>100</v>
      </c>
      <c r="F288" s="42">
        <f>4710+74+144011.2</f>
        <v>148795.20000000001</v>
      </c>
      <c r="G288" s="42">
        <f>4710+74+144011.2</f>
        <v>148795.20000000001</v>
      </c>
      <c r="H288" s="41">
        <f>F288</f>
        <v>148795.20000000001</v>
      </c>
      <c r="I288" s="41">
        <f>G288</f>
        <v>148795.20000000001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</row>
    <row r="289" spans="1:166" ht="31.25" x14ac:dyDescent="0.3">
      <c r="A289" s="8" t="s">
        <v>86</v>
      </c>
      <c r="B289" s="58" t="s">
        <v>15</v>
      </c>
      <c r="C289" s="58" t="s">
        <v>14</v>
      </c>
      <c r="D289" s="60" t="s">
        <v>133</v>
      </c>
      <c r="E289" s="58">
        <v>200</v>
      </c>
      <c r="F289" s="42">
        <f>10156.9-200-75-F288-F291+144011.2</f>
        <v>5072.2999999999884</v>
      </c>
      <c r="G289" s="42">
        <f>10171.1-G288-G291+144011.2-G300-G304</f>
        <v>5086.5</v>
      </c>
      <c r="H289" s="42">
        <f>ROUND(F289*0.975,1)</f>
        <v>4945.5</v>
      </c>
      <c r="I289" s="42">
        <f>ROUND(G289*0.95,1)</f>
        <v>4832.2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</row>
    <row r="290" spans="1:166" ht="31.25" x14ac:dyDescent="0.3">
      <c r="A290" s="7" t="s">
        <v>37</v>
      </c>
      <c r="B290" s="58" t="s">
        <v>15</v>
      </c>
      <c r="C290" s="58" t="s">
        <v>14</v>
      </c>
      <c r="D290" s="60" t="s">
        <v>133</v>
      </c>
      <c r="E290" s="58">
        <v>600</v>
      </c>
      <c r="F290" s="40">
        <f>2973.8+12264.4</f>
        <v>15238.2</v>
      </c>
      <c r="G290" s="40">
        <f>2983+12267.5</f>
        <v>15250.5</v>
      </c>
      <c r="H290" s="41">
        <f>ROUND(F290*0.975-(H288*0.025),1)</f>
        <v>11137.4</v>
      </c>
      <c r="I290" s="41">
        <f>ROUND(G290*0.95-(I288*0.05),1)</f>
        <v>7048.2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</row>
    <row r="291" spans="1:166" ht="18.350000000000001" x14ac:dyDescent="0.3">
      <c r="A291" s="7" t="s">
        <v>36</v>
      </c>
      <c r="B291" s="58" t="s">
        <v>15</v>
      </c>
      <c r="C291" s="58" t="s">
        <v>14</v>
      </c>
      <c r="D291" s="60" t="s">
        <v>133</v>
      </c>
      <c r="E291" s="58">
        <v>800</v>
      </c>
      <c r="F291" s="42">
        <v>25.6</v>
      </c>
      <c r="G291" s="42">
        <v>25.6</v>
      </c>
      <c r="H291" s="41">
        <f>ROUND(F291*0.975,1)</f>
        <v>25</v>
      </c>
      <c r="I291" s="41">
        <f>ROUND(G291*0.95,1)</f>
        <v>24.3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</row>
    <row r="292" spans="1:166" ht="31.95" x14ac:dyDescent="0.3">
      <c r="A292" s="28" t="s">
        <v>307</v>
      </c>
      <c r="B292" s="58" t="s">
        <v>15</v>
      </c>
      <c r="C292" s="58" t="s">
        <v>14</v>
      </c>
      <c r="D292" s="60" t="s">
        <v>308</v>
      </c>
      <c r="E292" s="58"/>
      <c r="F292" s="42">
        <f>F293</f>
        <v>50760.4</v>
      </c>
      <c r="G292" s="42">
        <f>G293</f>
        <v>50797.599999999999</v>
      </c>
      <c r="H292" s="42">
        <f>H293</f>
        <v>49491.4</v>
      </c>
      <c r="I292" s="42">
        <f>I293</f>
        <v>48257.8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</row>
    <row r="293" spans="1:166" ht="78.150000000000006" x14ac:dyDescent="0.3">
      <c r="A293" s="7" t="s">
        <v>160</v>
      </c>
      <c r="B293" s="60" t="s">
        <v>15</v>
      </c>
      <c r="C293" s="60" t="s">
        <v>14</v>
      </c>
      <c r="D293" s="60" t="s">
        <v>134</v>
      </c>
      <c r="E293" s="58"/>
      <c r="F293" s="42">
        <f>F294+F295+F296</f>
        <v>50760.4</v>
      </c>
      <c r="G293" s="42">
        <f>G294+G295+G296</f>
        <v>50797.599999999999</v>
      </c>
      <c r="H293" s="42">
        <f>H294+H295+H296</f>
        <v>49491.4</v>
      </c>
      <c r="I293" s="42">
        <f>I294+I295+I296</f>
        <v>48257.8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</row>
    <row r="294" spans="1:166" ht="62.5" x14ac:dyDescent="0.3">
      <c r="A294" s="7" t="s">
        <v>34</v>
      </c>
      <c r="B294" s="60" t="s">
        <v>15</v>
      </c>
      <c r="C294" s="60" t="s">
        <v>14</v>
      </c>
      <c r="D294" s="60" t="s">
        <v>134</v>
      </c>
      <c r="E294" s="58">
        <v>100</v>
      </c>
      <c r="F294" s="42">
        <f>37351.9+2+2456</f>
        <v>39809.9</v>
      </c>
      <c r="G294" s="42">
        <f>37351.9+2+2456</f>
        <v>39809.9</v>
      </c>
      <c r="H294" s="41">
        <f>F294</f>
        <v>39809.9</v>
      </c>
      <c r="I294" s="41">
        <f>G294</f>
        <v>39809.9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</row>
    <row r="295" spans="1:166" ht="31.25" x14ac:dyDescent="0.3">
      <c r="A295" s="8" t="s">
        <v>86</v>
      </c>
      <c r="B295" s="60" t="s">
        <v>15</v>
      </c>
      <c r="C295" s="60" t="s">
        <v>14</v>
      </c>
      <c r="D295" s="60" t="s">
        <v>134</v>
      </c>
      <c r="E295" s="58">
        <v>200</v>
      </c>
      <c r="F295" s="42">
        <f>43760.4-39809.9-3+7000</f>
        <v>10947.5</v>
      </c>
      <c r="G295" s="42">
        <f>43797.6-3-G294+7000</f>
        <v>10984.699999999997</v>
      </c>
      <c r="H295" s="41">
        <f>ROUND(F295*0.975-H294*0.025,1)</f>
        <v>9678.6</v>
      </c>
      <c r="I295" s="41">
        <f>ROUND(G295*0.95-I294*0.05,1)</f>
        <v>8445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</row>
    <row r="296" spans="1:166" ht="18.350000000000001" x14ac:dyDescent="0.3">
      <c r="A296" s="7" t="s">
        <v>36</v>
      </c>
      <c r="B296" s="60" t="s">
        <v>15</v>
      </c>
      <c r="C296" s="60" t="s">
        <v>14</v>
      </c>
      <c r="D296" s="60" t="s">
        <v>134</v>
      </c>
      <c r="E296" s="58">
        <v>800</v>
      </c>
      <c r="F296" s="42">
        <v>3</v>
      </c>
      <c r="G296" s="42">
        <v>3</v>
      </c>
      <c r="H296" s="41">
        <f>ROUND(F296*0.975,1)</f>
        <v>2.9</v>
      </c>
      <c r="I296" s="41">
        <f>ROUND(G296*0.95,1)</f>
        <v>2.9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</row>
    <row r="297" spans="1:166" ht="46.9" x14ac:dyDescent="0.3">
      <c r="A297" s="7" t="s">
        <v>387</v>
      </c>
      <c r="B297" s="60" t="s">
        <v>15</v>
      </c>
      <c r="C297" s="60" t="s">
        <v>14</v>
      </c>
      <c r="D297" s="60" t="s">
        <v>271</v>
      </c>
      <c r="E297" s="58"/>
      <c r="F297" s="42">
        <f>F298</f>
        <v>75</v>
      </c>
      <c r="G297" s="42">
        <f t="shared" ref="G297:I298" si="30">G298</f>
        <v>75</v>
      </c>
      <c r="H297" s="42">
        <f t="shared" si="30"/>
        <v>73.099999999999994</v>
      </c>
      <c r="I297" s="42">
        <f t="shared" si="30"/>
        <v>71.3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</row>
    <row r="298" spans="1:166" ht="47.55" x14ac:dyDescent="0.3">
      <c r="A298" s="32" t="s">
        <v>272</v>
      </c>
      <c r="B298" s="60" t="s">
        <v>15</v>
      </c>
      <c r="C298" s="60" t="s">
        <v>14</v>
      </c>
      <c r="D298" s="60" t="s">
        <v>273</v>
      </c>
      <c r="E298" s="58"/>
      <c r="F298" s="42">
        <f>F299</f>
        <v>75</v>
      </c>
      <c r="G298" s="42">
        <f t="shared" si="30"/>
        <v>75</v>
      </c>
      <c r="H298" s="42">
        <f t="shared" si="30"/>
        <v>73.099999999999994</v>
      </c>
      <c r="I298" s="42">
        <f t="shared" si="30"/>
        <v>71.3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</row>
    <row r="299" spans="1:166" s="1" customFormat="1" ht="18.350000000000001" x14ac:dyDescent="0.3">
      <c r="A299" s="32" t="s">
        <v>249</v>
      </c>
      <c r="B299" s="60" t="s">
        <v>15</v>
      </c>
      <c r="C299" s="60" t="s">
        <v>14</v>
      </c>
      <c r="D299" s="60" t="s">
        <v>124</v>
      </c>
      <c r="E299" s="58"/>
      <c r="F299" s="40">
        <f>F300</f>
        <v>75</v>
      </c>
      <c r="G299" s="40">
        <f>G300</f>
        <v>75</v>
      </c>
      <c r="H299" s="40">
        <f>H300</f>
        <v>73.099999999999994</v>
      </c>
      <c r="I299" s="40">
        <f>I300</f>
        <v>71.3</v>
      </c>
    </row>
    <row r="300" spans="1:166" s="1" customFormat="1" ht="31.25" x14ac:dyDescent="0.3">
      <c r="A300" s="8" t="s">
        <v>86</v>
      </c>
      <c r="B300" s="58" t="s">
        <v>15</v>
      </c>
      <c r="C300" s="58" t="s">
        <v>14</v>
      </c>
      <c r="D300" s="60" t="s">
        <v>124</v>
      </c>
      <c r="E300" s="58">
        <v>200</v>
      </c>
      <c r="F300" s="40">
        <v>75</v>
      </c>
      <c r="G300" s="40">
        <v>75</v>
      </c>
      <c r="H300" s="41">
        <f>ROUND(F300*0.975,1)</f>
        <v>73.099999999999994</v>
      </c>
      <c r="I300" s="41">
        <f>ROUND(G300*0.95,1)</f>
        <v>71.3</v>
      </c>
    </row>
    <row r="301" spans="1:166" s="1" customFormat="1" ht="62.5" x14ac:dyDescent="0.3">
      <c r="A301" s="7" t="s">
        <v>392</v>
      </c>
      <c r="B301" s="58" t="s">
        <v>15</v>
      </c>
      <c r="C301" s="58" t="s">
        <v>14</v>
      </c>
      <c r="D301" s="60" t="s">
        <v>309</v>
      </c>
      <c r="E301" s="58"/>
      <c r="F301" s="40">
        <f>F302</f>
        <v>200</v>
      </c>
      <c r="G301" s="40">
        <f t="shared" ref="G301:I302" si="31">G302</f>
        <v>200</v>
      </c>
      <c r="H301" s="40">
        <f t="shared" si="31"/>
        <v>195</v>
      </c>
      <c r="I301" s="40">
        <f t="shared" si="31"/>
        <v>190</v>
      </c>
    </row>
    <row r="302" spans="1:166" s="1" customFormat="1" ht="31.95" x14ac:dyDescent="0.3">
      <c r="A302" s="28" t="s">
        <v>310</v>
      </c>
      <c r="B302" s="58" t="s">
        <v>15</v>
      </c>
      <c r="C302" s="58" t="s">
        <v>14</v>
      </c>
      <c r="D302" s="60" t="s">
        <v>311</v>
      </c>
      <c r="E302" s="58"/>
      <c r="F302" s="40">
        <f>F303</f>
        <v>200</v>
      </c>
      <c r="G302" s="40">
        <f t="shared" si="31"/>
        <v>200</v>
      </c>
      <c r="H302" s="40">
        <f t="shared" si="31"/>
        <v>195</v>
      </c>
      <c r="I302" s="40">
        <f t="shared" si="31"/>
        <v>190</v>
      </c>
    </row>
    <row r="303" spans="1:166" ht="18.350000000000001" x14ac:dyDescent="0.3">
      <c r="A303" s="28" t="s">
        <v>249</v>
      </c>
      <c r="B303" s="58" t="s">
        <v>15</v>
      </c>
      <c r="C303" s="58" t="s">
        <v>14</v>
      </c>
      <c r="D303" s="60" t="s">
        <v>135</v>
      </c>
      <c r="E303" s="58"/>
      <c r="F303" s="40">
        <f>F304</f>
        <v>200</v>
      </c>
      <c r="G303" s="40">
        <f>G304</f>
        <v>200</v>
      </c>
      <c r="H303" s="40">
        <f>H304</f>
        <v>195</v>
      </c>
      <c r="I303" s="40">
        <f>I304</f>
        <v>190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</row>
    <row r="304" spans="1:166" ht="31.25" x14ac:dyDescent="0.3">
      <c r="A304" s="7" t="s">
        <v>86</v>
      </c>
      <c r="B304" s="58" t="s">
        <v>15</v>
      </c>
      <c r="C304" s="58" t="s">
        <v>14</v>
      </c>
      <c r="D304" s="60" t="s">
        <v>135</v>
      </c>
      <c r="E304" s="58">
        <v>200</v>
      </c>
      <c r="F304" s="40">
        <v>200</v>
      </c>
      <c r="G304" s="40">
        <v>200</v>
      </c>
      <c r="H304" s="41">
        <f>ROUND(F304*0.975,1)</f>
        <v>195</v>
      </c>
      <c r="I304" s="41">
        <f>ROUND(G304*0.95,1)</f>
        <v>190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</row>
    <row r="305" spans="1:166" ht="18.350000000000001" x14ac:dyDescent="0.3">
      <c r="A305" s="79" t="s">
        <v>153</v>
      </c>
      <c r="B305" s="53">
        <v>8</v>
      </c>
      <c r="C305" s="54"/>
      <c r="D305" s="55"/>
      <c r="E305" s="56"/>
      <c r="F305" s="39">
        <f>F306+F331+F337</f>
        <v>124383</v>
      </c>
      <c r="G305" s="39">
        <f>G306+G331+G337</f>
        <v>124907.09999999999</v>
      </c>
      <c r="H305" s="39">
        <f>H306+H331+H337</f>
        <v>124383</v>
      </c>
      <c r="I305" s="39">
        <f>I306+I331+I337</f>
        <v>124907.09999999999</v>
      </c>
    </row>
    <row r="306" spans="1:166" ht="18.350000000000001" x14ac:dyDescent="0.3">
      <c r="A306" s="9" t="s">
        <v>30</v>
      </c>
      <c r="B306" s="57">
        <v>8</v>
      </c>
      <c r="C306" s="57">
        <v>1</v>
      </c>
      <c r="D306" s="58"/>
      <c r="E306" s="59"/>
      <c r="F306" s="40">
        <f>F328+F307+F324</f>
        <v>92319.5</v>
      </c>
      <c r="G306" s="40">
        <f>G328+G307+G324</f>
        <v>92716.099999999991</v>
      </c>
      <c r="H306" s="40">
        <f>H328+H307+H324</f>
        <v>92319.5</v>
      </c>
      <c r="I306" s="40">
        <f>I328+I307+I324</f>
        <v>92716.099999999991</v>
      </c>
    </row>
    <row r="307" spans="1:166" ht="31.25" x14ac:dyDescent="0.3">
      <c r="A307" s="7" t="s">
        <v>393</v>
      </c>
      <c r="B307" s="58" t="s">
        <v>13</v>
      </c>
      <c r="C307" s="58" t="s">
        <v>4</v>
      </c>
      <c r="D307" s="60" t="s">
        <v>136</v>
      </c>
      <c r="E307" s="58"/>
      <c r="F307" s="40">
        <f>F309+F316+F320</f>
        <v>91631.5</v>
      </c>
      <c r="G307" s="40">
        <f>G309+G316+G320</f>
        <v>92028.099999999991</v>
      </c>
      <c r="H307" s="40">
        <f>H309+H316+H320</f>
        <v>91631.5</v>
      </c>
      <c r="I307" s="40">
        <f>I309+I316+I320</f>
        <v>92028.099999999991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</row>
    <row r="308" spans="1:166" ht="18.350000000000001" x14ac:dyDescent="0.3">
      <c r="A308" s="28" t="s">
        <v>312</v>
      </c>
      <c r="B308" s="58" t="s">
        <v>13</v>
      </c>
      <c r="C308" s="58" t="s">
        <v>4</v>
      </c>
      <c r="D308" s="60" t="s">
        <v>313</v>
      </c>
      <c r="E308" s="58"/>
      <c r="F308" s="40">
        <f>F309</f>
        <v>24492.799999999999</v>
      </c>
      <c r="G308" s="40">
        <f>G309</f>
        <v>24559.8</v>
      </c>
      <c r="H308" s="40">
        <f>H309</f>
        <v>24492.799999999999</v>
      </c>
      <c r="I308" s="40">
        <f>I309</f>
        <v>24559.8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</row>
    <row r="309" spans="1:166" ht="31.95" x14ac:dyDescent="0.3">
      <c r="A309" s="28" t="s">
        <v>314</v>
      </c>
      <c r="B309" s="58" t="s">
        <v>13</v>
      </c>
      <c r="C309" s="58" t="s">
        <v>4</v>
      </c>
      <c r="D309" s="60" t="s">
        <v>137</v>
      </c>
      <c r="E309" s="58"/>
      <c r="F309" s="40">
        <f>F310+F312</f>
        <v>24492.799999999999</v>
      </c>
      <c r="G309" s="40">
        <f>G310+G312</f>
        <v>24559.8</v>
      </c>
      <c r="H309" s="40">
        <f>H310+H312</f>
        <v>24492.799999999999</v>
      </c>
      <c r="I309" s="40">
        <f>I310+I312</f>
        <v>24559.8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</row>
    <row r="310" spans="1:166" ht="31.25" x14ac:dyDescent="0.3">
      <c r="A310" s="7" t="s">
        <v>77</v>
      </c>
      <c r="B310" s="58" t="s">
        <v>13</v>
      </c>
      <c r="C310" s="58" t="s">
        <v>4</v>
      </c>
      <c r="D310" s="60" t="s">
        <v>138</v>
      </c>
      <c r="E310" s="58"/>
      <c r="F310" s="40">
        <f>F311</f>
        <v>43</v>
      </c>
      <c r="G310" s="40">
        <f>G311</f>
        <v>43</v>
      </c>
      <c r="H310" s="40">
        <f>H311</f>
        <v>43</v>
      </c>
      <c r="I310" s="40">
        <f>I311</f>
        <v>43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</row>
    <row r="311" spans="1:166" ht="31.25" x14ac:dyDescent="0.3">
      <c r="A311" s="7" t="s">
        <v>37</v>
      </c>
      <c r="B311" s="58" t="s">
        <v>13</v>
      </c>
      <c r="C311" s="58" t="s">
        <v>4</v>
      </c>
      <c r="D311" s="60" t="s">
        <v>138</v>
      </c>
      <c r="E311" s="58">
        <v>600</v>
      </c>
      <c r="F311" s="40">
        <v>43</v>
      </c>
      <c r="G311" s="40">
        <v>43</v>
      </c>
      <c r="H311" s="41">
        <f>F311</f>
        <v>43</v>
      </c>
      <c r="I311" s="41">
        <f>G311</f>
        <v>43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</row>
    <row r="312" spans="1:166" ht="18.350000000000001" x14ac:dyDescent="0.3">
      <c r="A312" s="7" t="s">
        <v>52</v>
      </c>
      <c r="B312" s="67" t="s">
        <v>13</v>
      </c>
      <c r="C312" s="67" t="s">
        <v>4</v>
      </c>
      <c r="D312" s="67" t="s">
        <v>139</v>
      </c>
      <c r="E312" s="67"/>
      <c r="F312" s="40">
        <f>F313</f>
        <v>24449.8</v>
      </c>
      <c r="G312" s="40">
        <f>G313</f>
        <v>24516.799999999999</v>
      </c>
      <c r="H312" s="40">
        <f>H313</f>
        <v>24449.8</v>
      </c>
      <c r="I312" s="40">
        <f>I313</f>
        <v>24516.799999999999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</row>
    <row r="313" spans="1:166" ht="31.25" x14ac:dyDescent="0.3">
      <c r="A313" s="7" t="s">
        <v>37</v>
      </c>
      <c r="B313" s="67" t="s">
        <v>13</v>
      </c>
      <c r="C313" s="67" t="s">
        <v>4</v>
      </c>
      <c r="D313" s="67" t="s">
        <v>139</v>
      </c>
      <c r="E313" s="58">
        <v>600</v>
      </c>
      <c r="F313" s="40">
        <f>24544.8-10-43-42</f>
        <v>24449.8</v>
      </c>
      <c r="G313" s="40">
        <f>24611.8-10-43-42</f>
        <v>24516.799999999999</v>
      </c>
      <c r="H313" s="41">
        <f>F313</f>
        <v>24449.8</v>
      </c>
      <c r="I313" s="41">
        <f>G313</f>
        <v>24516.799999999999</v>
      </c>
    </row>
    <row r="314" spans="1:166" ht="31.95" x14ac:dyDescent="0.3">
      <c r="A314" s="28" t="s">
        <v>315</v>
      </c>
      <c r="B314" s="67" t="s">
        <v>13</v>
      </c>
      <c r="C314" s="67" t="s">
        <v>4</v>
      </c>
      <c r="D314" s="67" t="s">
        <v>316</v>
      </c>
      <c r="E314" s="58"/>
      <c r="F314" s="40">
        <f>F315</f>
        <v>65538.7</v>
      </c>
      <c r="G314" s="40">
        <f t="shared" ref="G314:I315" si="32">G315</f>
        <v>65868.299999999988</v>
      </c>
      <c r="H314" s="40">
        <f t="shared" si="32"/>
        <v>65538.7</v>
      </c>
      <c r="I314" s="40">
        <f t="shared" si="32"/>
        <v>65868.299999999988</v>
      </c>
    </row>
    <row r="315" spans="1:166" ht="31.95" x14ac:dyDescent="0.3">
      <c r="A315" s="29" t="s">
        <v>317</v>
      </c>
      <c r="B315" s="67" t="s">
        <v>13</v>
      </c>
      <c r="C315" s="67" t="s">
        <v>4</v>
      </c>
      <c r="D315" s="67" t="s">
        <v>318</v>
      </c>
      <c r="E315" s="58"/>
      <c r="F315" s="40">
        <f>F316</f>
        <v>65538.7</v>
      </c>
      <c r="G315" s="40">
        <f t="shared" si="32"/>
        <v>65868.299999999988</v>
      </c>
      <c r="H315" s="40">
        <f t="shared" si="32"/>
        <v>65538.7</v>
      </c>
      <c r="I315" s="40">
        <f t="shared" si="32"/>
        <v>65868.299999999988</v>
      </c>
    </row>
    <row r="316" spans="1:166" ht="31.95" x14ac:dyDescent="0.3">
      <c r="A316" s="28" t="s">
        <v>53</v>
      </c>
      <c r="B316" s="58" t="s">
        <v>13</v>
      </c>
      <c r="C316" s="58" t="s">
        <v>4</v>
      </c>
      <c r="D316" s="60" t="s">
        <v>140</v>
      </c>
      <c r="E316" s="58"/>
      <c r="F316" s="40">
        <f>F317</f>
        <v>65538.7</v>
      </c>
      <c r="G316" s="40">
        <f>G317</f>
        <v>65868.299999999988</v>
      </c>
      <c r="H316" s="40">
        <f>H317</f>
        <v>65538.7</v>
      </c>
      <c r="I316" s="40">
        <f>I317</f>
        <v>65868.299999999988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</row>
    <row r="317" spans="1:166" ht="31.25" x14ac:dyDescent="0.3">
      <c r="A317" s="7" t="s">
        <v>37</v>
      </c>
      <c r="B317" s="58" t="s">
        <v>13</v>
      </c>
      <c r="C317" s="58" t="s">
        <v>4</v>
      </c>
      <c r="D317" s="60" t="s">
        <v>140</v>
      </c>
      <c r="E317" s="58">
        <v>600</v>
      </c>
      <c r="F317" s="40">
        <f>16632+49142.7-86-150</f>
        <v>65538.7</v>
      </c>
      <c r="G317" s="40">
        <f>16737.1+49367.2-86-150</f>
        <v>65868.299999999988</v>
      </c>
      <c r="H317" s="41">
        <f>F317</f>
        <v>65538.7</v>
      </c>
      <c r="I317" s="41">
        <f>G317</f>
        <v>65868.299999999988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</row>
    <row r="318" spans="1:166" ht="18.350000000000001" x14ac:dyDescent="0.3">
      <c r="A318" s="28" t="s">
        <v>319</v>
      </c>
      <c r="B318" s="58" t="s">
        <v>13</v>
      </c>
      <c r="C318" s="58" t="s">
        <v>4</v>
      </c>
      <c r="D318" s="60" t="s">
        <v>320</v>
      </c>
      <c r="E318" s="58"/>
      <c r="F318" s="40">
        <f>F319</f>
        <v>1600</v>
      </c>
      <c r="G318" s="40">
        <f t="shared" ref="G318:I319" si="33">G319</f>
        <v>1600</v>
      </c>
      <c r="H318" s="40">
        <f t="shared" si="33"/>
        <v>1600</v>
      </c>
      <c r="I318" s="40">
        <f t="shared" si="33"/>
        <v>1600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</row>
    <row r="319" spans="1:166" ht="31.95" x14ac:dyDescent="0.3">
      <c r="A319" s="28" t="s">
        <v>321</v>
      </c>
      <c r="B319" s="58" t="s">
        <v>13</v>
      </c>
      <c r="C319" s="58" t="s">
        <v>4</v>
      </c>
      <c r="D319" s="60" t="s">
        <v>322</v>
      </c>
      <c r="E319" s="58"/>
      <c r="F319" s="40">
        <f>F320</f>
        <v>1600</v>
      </c>
      <c r="G319" s="40">
        <f t="shared" si="33"/>
        <v>1600</v>
      </c>
      <c r="H319" s="40">
        <f t="shared" si="33"/>
        <v>1600</v>
      </c>
      <c r="I319" s="40">
        <f t="shared" si="33"/>
        <v>1600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</row>
    <row r="320" spans="1:166" ht="18.350000000000001" x14ac:dyDescent="0.3">
      <c r="A320" s="7" t="s">
        <v>55</v>
      </c>
      <c r="B320" s="58" t="s">
        <v>13</v>
      </c>
      <c r="C320" s="58" t="s">
        <v>4</v>
      </c>
      <c r="D320" s="60" t="s">
        <v>323</v>
      </c>
      <c r="E320" s="58"/>
      <c r="F320" s="40">
        <f>F321</f>
        <v>1600</v>
      </c>
      <c r="G320" s="40">
        <f>G321</f>
        <v>1600</v>
      </c>
      <c r="H320" s="40">
        <f>H321</f>
        <v>1600</v>
      </c>
      <c r="I320" s="40">
        <f>I321</f>
        <v>1600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</row>
    <row r="321" spans="1:166" ht="31.25" x14ac:dyDescent="0.3">
      <c r="A321" s="8" t="s">
        <v>86</v>
      </c>
      <c r="B321" s="58" t="s">
        <v>13</v>
      </c>
      <c r="C321" s="58" t="s">
        <v>4</v>
      </c>
      <c r="D321" s="60" t="s">
        <v>323</v>
      </c>
      <c r="E321" s="58">
        <v>200</v>
      </c>
      <c r="F321" s="40">
        <f>2000-400</f>
        <v>1600</v>
      </c>
      <c r="G321" s="40">
        <f>2000-400</f>
        <v>1600</v>
      </c>
      <c r="H321" s="41">
        <v>1600</v>
      </c>
      <c r="I321" s="41">
        <v>1600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</row>
    <row r="322" spans="1:166" ht="31.25" x14ac:dyDescent="0.3">
      <c r="A322" s="7" t="s">
        <v>388</v>
      </c>
      <c r="B322" s="58" t="s">
        <v>13</v>
      </c>
      <c r="C322" s="58" t="s">
        <v>4</v>
      </c>
      <c r="D322" s="60" t="s">
        <v>274</v>
      </c>
      <c r="E322" s="58"/>
      <c r="F322" s="40">
        <f>F323</f>
        <v>192</v>
      </c>
      <c r="G322" s="40">
        <f t="shared" ref="G322:I323" si="34">G323</f>
        <v>192</v>
      </c>
      <c r="H322" s="40">
        <f t="shared" si="34"/>
        <v>192</v>
      </c>
      <c r="I322" s="40">
        <f t="shared" si="34"/>
        <v>192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</row>
    <row r="323" spans="1:166" ht="31.95" x14ac:dyDescent="0.3">
      <c r="A323" s="28" t="s">
        <v>275</v>
      </c>
      <c r="B323" s="58" t="s">
        <v>13</v>
      </c>
      <c r="C323" s="58" t="s">
        <v>4</v>
      </c>
      <c r="D323" s="60" t="s">
        <v>276</v>
      </c>
      <c r="E323" s="58"/>
      <c r="F323" s="40">
        <f>F324</f>
        <v>192</v>
      </c>
      <c r="G323" s="40">
        <f t="shared" si="34"/>
        <v>192</v>
      </c>
      <c r="H323" s="40">
        <f t="shared" si="34"/>
        <v>192</v>
      </c>
      <c r="I323" s="40">
        <f t="shared" si="34"/>
        <v>192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</row>
    <row r="324" spans="1:166" s="1" customFormat="1" ht="18.350000000000001" x14ac:dyDescent="0.3">
      <c r="A324" s="28" t="s">
        <v>249</v>
      </c>
      <c r="B324" s="58" t="s">
        <v>13</v>
      </c>
      <c r="C324" s="58" t="s">
        <v>4</v>
      </c>
      <c r="D324" s="60" t="s">
        <v>125</v>
      </c>
      <c r="E324" s="58"/>
      <c r="F324" s="40">
        <f>F325</f>
        <v>192</v>
      </c>
      <c r="G324" s="40">
        <f>G325</f>
        <v>192</v>
      </c>
      <c r="H324" s="40">
        <f>H325</f>
        <v>192</v>
      </c>
      <c r="I324" s="40">
        <f>I325</f>
        <v>192</v>
      </c>
    </row>
    <row r="325" spans="1:166" s="1" customFormat="1" ht="31.25" x14ac:dyDescent="0.3">
      <c r="A325" s="7" t="s">
        <v>37</v>
      </c>
      <c r="B325" s="58" t="s">
        <v>13</v>
      </c>
      <c r="C325" s="58" t="s">
        <v>4</v>
      </c>
      <c r="D325" s="60" t="s">
        <v>125</v>
      </c>
      <c r="E325" s="58">
        <v>600</v>
      </c>
      <c r="F325" s="40">
        <f>150+42</f>
        <v>192</v>
      </c>
      <c r="G325" s="40">
        <f>150+42</f>
        <v>192</v>
      </c>
      <c r="H325" s="41">
        <f>F325</f>
        <v>192</v>
      </c>
      <c r="I325" s="41">
        <f>G325</f>
        <v>192</v>
      </c>
    </row>
    <row r="326" spans="1:166" s="1" customFormat="1" ht="31.25" x14ac:dyDescent="0.3">
      <c r="A326" s="7" t="s">
        <v>394</v>
      </c>
      <c r="B326" s="57">
        <v>8</v>
      </c>
      <c r="C326" s="57">
        <v>1</v>
      </c>
      <c r="D326" s="58" t="s">
        <v>294</v>
      </c>
      <c r="E326" s="58"/>
      <c r="F326" s="40">
        <f>F327</f>
        <v>496</v>
      </c>
      <c r="G326" s="40">
        <f t="shared" ref="G326:I327" si="35">G327</f>
        <v>496</v>
      </c>
      <c r="H326" s="40">
        <f t="shared" si="35"/>
        <v>496</v>
      </c>
      <c r="I326" s="40">
        <f t="shared" si="35"/>
        <v>496</v>
      </c>
    </row>
    <row r="327" spans="1:166" s="1" customFormat="1" ht="31.95" x14ac:dyDescent="0.3">
      <c r="A327" s="28" t="s">
        <v>295</v>
      </c>
      <c r="B327" s="57">
        <v>8</v>
      </c>
      <c r="C327" s="57">
        <v>1</v>
      </c>
      <c r="D327" s="58" t="s">
        <v>296</v>
      </c>
      <c r="E327" s="58"/>
      <c r="F327" s="40">
        <f>F328</f>
        <v>496</v>
      </c>
      <c r="G327" s="40">
        <f t="shared" si="35"/>
        <v>496</v>
      </c>
      <c r="H327" s="40">
        <f t="shared" si="35"/>
        <v>496</v>
      </c>
      <c r="I327" s="40">
        <f t="shared" si="35"/>
        <v>496</v>
      </c>
    </row>
    <row r="328" spans="1:166" s="1" customFormat="1" ht="18.350000000000001" x14ac:dyDescent="0.3">
      <c r="A328" s="29" t="s">
        <v>249</v>
      </c>
      <c r="B328" s="58" t="s">
        <v>13</v>
      </c>
      <c r="C328" s="58" t="s">
        <v>4</v>
      </c>
      <c r="D328" s="60" t="s">
        <v>297</v>
      </c>
      <c r="E328" s="58"/>
      <c r="F328" s="40">
        <f>F329+F330</f>
        <v>496</v>
      </c>
      <c r="G328" s="40">
        <f>G329+G330</f>
        <v>496</v>
      </c>
      <c r="H328" s="40">
        <f>H329+H330</f>
        <v>496</v>
      </c>
      <c r="I328" s="40">
        <f>I329+I330</f>
        <v>496</v>
      </c>
    </row>
    <row r="329" spans="1:166" s="1" customFormat="1" ht="31.25" x14ac:dyDescent="0.3">
      <c r="A329" s="7" t="s">
        <v>86</v>
      </c>
      <c r="B329" s="58" t="s">
        <v>13</v>
      </c>
      <c r="C329" s="58" t="s">
        <v>4</v>
      </c>
      <c r="D329" s="60" t="s">
        <v>297</v>
      </c>
      <c r="E329" s="58">
        <v>200</v>
      </c>
      <c r="F329" s="40">
        <v>400</v>
      </c>
      <c r="G329" s="40">
        <v>400</v>
      </c>
      <c r="H329" s="41">
        <v>400</v>
      </c>
      <c r="I329" s="41">
        <v>400</v>
      </c>
    </row>
    <row r="330" spans="1:166" s="1" customFormat="1" ht="31.25" x14ac:dyDescent="0.3">
      <c r="A330" s="7" t="s">
        <v>37</v>
      </c>
      <c r="B330" s="58" t="s">
        <v>13</v>
      </c>
      <c r="C330" s="58" t="s">
        <v>4</v>
      </c>
      <c r="D330" s="60" t="s">
        <v>297</v>
      </c>
      <c r="E330" s="58">
        <v>600</v>
      </c>
      <c r="F330" s="40">
        <v>96</v>
      </c>
      <c r="G330" s="40">
        <v>96</v>
      </c>
      <c r="H330" s="41">
        <v>96</v>
      </c>
      <c r="I330" s="41">
        <v>96</v>
      </c>
    </row>
    <row r="331" spans="1:166" ht="18.350000000000001" x14ac:dyDescent="0.3">
      <c r="A331" s="7" t="s">
        <v>56</v>
      </c>
      <c r="B331" s="58" t="s">
        <v>13</v>
      </c>
      <c r="C331" s="58" t="s">
        <v>5</v>
      </c>
      <c r="D331" s="60"/>
      <c r="E331" s="71"/>
      <c r="F331" s="40">
        <f>F336</f>
        <v>7468.2</v>
      </c>
      <c r="G331" s="40">
        <f>G336</f>
        <v>7592.3</v>
      </c>
      <c r="H331" s="40">
        <f>H336</f>
        <v>7468.2</v>
      </c>
      <c r="I331" s="40">
        <f>I336</f>
        <v>7592.3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</row>
    <row r="332" spans="1:166" ht="31.25" x14ac:dyDescent="0.3">
      <c r="A332" s="7" t="s">
        <v>393</v>
      </c>
      <c r="B332" s="58" t="s">
        <v>13</v>
      </c>
      <c r="C332" s="58" t="s">
        <v>5</v>
      </c>
      <c r="D332" s="60" t="s">
        <v>136</v>
      </c>
      <c r="E332" s="71"/>
      <c r="F332" s="40">
        <f>F336</f>
        <v>7468.2</v>
      </c>
      <c r="G332" s="40">
        <f>G336</f>
        <v>7592.3</v>
      </c>
      <c r="H332" s="40">
        <f>H336</f>
        <v>7468.2</v>
      </c>
      <c r="I332" s="40">
        <f>I336</f>
        <v>7592.3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</row>
    <row r="333" spans="1:166" ht="18.350000000000001" x14ac:dyDescent="0.3">
      <c r="A333" s="7" t="s">
        <v>324</v>
      </c>
      <c r="B333" s="58" t="s">
        <v>13</v>
      </c>
      <c r="C333" s="58" t="s">
        <v>5</v>
      </c>
      <c r="D333" s="60" t="s">
        <v>325</v>
      </c>
      <c r="E333" s="71"/>
      <c r="F333" s="40">
        <f>F334</f>
        <v>7468.2</v>
      </c>
      <c r="G333" s="40">
        <f>G334</f>
        <v>7592.3</v>
      </c>
      <c r="H333" s="40">
        <f>H334</f>
        <v>7468.2</v>
      </c>
      <c r="I333" s="40">
        <f>I334</f>
        <v>7592.3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</row>
    <row r="334" spans="1:166" ht="18.350000000000001" x14ac:dyDescent="0.3">
      <c r="A334" s="7" t="s">
        <v>326</v>
      </c>
      <c r="B334" s="58" t="s">
        <v>13</v>
      </c>
      <c r="C334" s="58" t="s">
        <v>5</v>
      </c>
      <c r="D334" s="60" t="s">
        <v>141</v>
      </c>
      <c r="E334" s="71"/>
      <c r="F334" s="40">
        <f>F336</f>
        <v>7468.2</v>
      </c>
      <c r="G334" s="40">
        <f>G336</f>
        <v>7592.3</v>
      </c>
      <c r="H334" s="40">
        <f>H336</f>
        <v>7468.2</v>
      </c>
      <c r="I334" s="40">
        <f>I336</f>
        <v>7592.3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</row>
    <row r="335" spans="1:166" ht="18.350000000000001" x14ac:dyDescent="0.3">
      <c r="A335" s="7" t="s">
        <v>54</v>
      </c>
      <c r="B335" s="58" t="s">
        <v>13</v>
      </c>
      <c r="C335" s="58" t="s">
        <v>5</v>
      </c>
      <c r="D335" s="60" t="s">
        <v>142</v>
      </c>
      <c r="E335" s="58"/>
      <c r="F335" s="40">
        <f>F336</f>
        <v>7468.2</v>
      </c>
      <c r="G335" s="40">
        <f>G336</f>
        <v>7592.3</v>
      </c>
      <c r="H335" s="40">
        <f>H336</f>
        <v>7468.2</v>
      </c>
      <c r="I335" s="40">
        <f>I336</f>
        <v>7592.3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</row>
    <row r="336" spans="1:166" ht="31.25" x14ac:dyDescent="0.3">
      <c r="A336" s="7" t="s">
        <v>37</v>
      </c>
      <c r="B336" s="58" t="s">
        <v>13</v>
      </c>
      <c r="C336" s="58" t="s">
        <v>5</v>
      </c>
      <c r="D336" s="60" t="s">
        <v>142</v>
      </c>
      <c r="E336" s="58">
        <v>600</v>
      </c>
      <c r="F336" s="40">
        <v>7468.2</v>
      </c>
      <c r="G336" s="40">
        <v>7592.3</v>
      </c>
      <c r="H336" s="41">
        <f>F336</f>
        <v>7468.2</v>
      </c>
      <c r="I336" s="41">
        <f>G336</f>
        <v>7592.3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</row>
    <row r="337" spans="1:166" ht="18.350000000000001" x14ac:dyDescent="0.3">
      <c r="A337" s="7" t="s">
        <v>200</v>
      </c>
      <c r="B337" s="58" t="s">
        <v>13</v>
      </c>
      <c r="C337" s="60" t="s">
        <v>29</v>
      </c>
      <c r="D337" s="60"/>
      <c r="E337" s="58"/>
      <c r="F337" s="40">
        <f>F338</f>
        <v>24595.3</v>
      </c>
      <c r="G337" s="40">
        <f t="shared" ref="F337:I340" si="36">G338</f>
        <v>24598.699999999997</v>
      </c>
      <c r="H337" s="40">
        <f t="shared" si="36"/>
        <v>24595.3</v>
      </c>
      <c r="I337" s="40">
        <f t="shared" si="36"/>
        <v>24598.699999999997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</row>
    <row r="338" spans="1:166" ht="31.25" x14ac:dyDescent="0.3">
      <c r="A338" s="7" t="s">
        <v>393</v>
      </c>
      <c r="B338" s="58" t="s">
        <v>13</v>
      </c>
      <c r="C338" s="60" t="s">
        <v>29</v>
      </c>
      <c r="D338" s="60" t="s">
        <v>136</v>
      </c>
      <c r="E338" s="58"/>
      <c r="F338" s="40">
        <f t="shared" si="36"/>
        <v>24595.3</v>
      </c>
      <c r="G338" s="40">
        <f t="shared" si="36"/>
        <v>24598.699999999997</v>
      </c>
      <c r="H338" s="40">
        <f t="shared" si="36"/>
        <v>24595.3</v>
      </c>
      <c r="I338" s="40">
        <f t="shared" si="36"/>
        <v>24598.699999999997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</row>
    <row r="339" spans="1:166" ht="31.95" x14ac:dyDescent="0.3">
      <c r="A339" s="28" t="s">
        <v>315</v>
      </c>
      <c r="B339" s="58" t="s">
        <v>13</v>
      </c>
      <c r="C339" s="60" t="s">
        <v>29</v>
      </c>
      <c r="D339" s="60" t="s">
        <v>316</v>
      </c>
      <c r="E339" s="58"/>
      <c r="F339" s="40">
        <f t="shared" si="36"/>
        <v>24595.3</v>
      </c>
      <c r="G339" s="40">
        <f t="shared" si="36"/>
        <v>24598.699999999997</v>
      </c>
      <c r="H339" s="40">
        <f t="shared" si="36"/>
        <v>24595.3</v>
      </c>
      <c r="I339" s="40">
        <f t="shared" si="36"/>
        <v>24598.699999999997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</row>
    <row r="340" spans="1:166" ht="31.95" x14ac:dyDescent="0.3">
      <c r="A340" s="29" t="s">
        <v>317</v>
      </c>
      <c r="B340" s="58" t="s">
        <v>13</v>
      </c>
      <c r="C340" s="60" t="s">
        <v>29</v>
      </c>
      <c r="D340" s="60" t="s">
        <v>318</v>
      </c>
      <c r="E340" s="58"/>
      <c r="F340" s="40">
        <f t="shared" si="36"/>
        <v>24595.3</v>
      </c>
      <c r="G340" s="40">
        <f t="shared" si="36"/>
        <v>24598.699999999997</v>
      </c>
      <c r="H340" s="40">
        <f t="shared" si="36"/>
        <v>24595.3</v>
      </c>
      <c r="I340" s="40">
        <f t="shared" si="36"/>
        <v>24598.699999999997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</row>
    <row r="341" spans="1:166" ht="31.95" x14ac:dyDescent="0.3">
      <c r="A341" s="29" t="s">
        <v>53</v>
      </c>
      <c r="B341" s="58" t="s">
        <v>13</v>
      </c>
      <c r="C341" s="60" t="s">
        <v>29</v>
      </c>
      <c r="D341" s="60" t="s">
        <v>140</v>
      </c>
      <c r="E341" s="58"/>
      <c r="F341" s="40">
        <f>F342+F343+F344</f>
        <v>24595.3</v>
      </c>
      <c r="G341" s="40">
        <f>G342+G343+G344</f>
        <v>24598.699999999997</v>
      </c>
      <c r="H341" s="40">
        <f>H342+H343+H344</f>
        <v>24595.3</v>
      </c>
      <c r="I341" s="40">
        <f>I342+I343+I344</f>
        <v>24598.699999999997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</row>
    <row r="342" spans="1:166" ht="62.5" x14ac:dyDescent="0.3">
      <c r="A342" s="7" t="s">
        <v>34</v>
      </c>
      <c r="B342" s="58" t="s">
        <v>13</v>
      </c>
      <c r="C342" s="60" t="s">
        <v>29</v>
      </c>
      <c r="D342" s="60" t="s">
        <v>140</v>
      </c>
      <c r="E342" s="58">
        <v>100</v>
      </c>
      <c r="F342" s="40">
        <f>1675.3+5+21992.8</f>
        <v>23673.1</v>
      </c>
      <c r="G342" s="40">
        <f>1675.3+5+21992.8</f>
        <v>23673.1</v>
      </c>
      <c r="H342" s="41">
        <f t="shared" ref="H342:I344" si="37">F342</f>
        <v>23673.1</v>
      </c>
      <c r="I342" s="41">
        <f t="shared" si="37"/>
        <v>23673.1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</row>
    <row r="343" spans="1:166" ht="31.25" x14ac:dyDescent="0.3">
      <c r="A343" s="8" t="s">
        <v>86</v>
      </c>
      <c r="B343" s="58" t="s">
        <v>13</v>
      </c>
      <c r="C343" s="60" t="s">
        <v>29</v>
      </c>
      <c r="D343" s="60" t="s">
        <v>140</v>
      </c>
      <c r="E343" s="58">
        <v>200</v>
      </c>
      <c r="F343" s="40">
        <f>2602.5-1675.3-5-100</f>
        <v>822.2</v>
      </c>
      <c r="G343" s="40">
        <f>2605.9-1675.3-5-100</f>
        <v>825.60000000000014</v>
      </c>
      <c r="H343" s="41">
        <f t="shared" si="37"/>
        <v>822.2</v>
      </c>
      <c r="I343" s="41">
        <f t="shared" si="37"/>
        <v>825.60000000000014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</row>
    <row r="344" spans="1:166" ht="18.350000000000001" x14ac:dyDescent="0.3">
      <c r="A344" s="7" t="s">
        <v>36</v>
      </c>
      <c r="B344" s="58" t="s">
        <v>13</v>
      </c>
      <c r="C344" s="60" t="s">
        <v>29</v>
      </c>
      <c r="D344" s="60" t="s">
        <v>140</v>
      </c>
      <c r="E344" s="58">
        <v>800</v>
      </c>
      <c r="F344" s="40">
        <v>100</v>
      </c>
      <c r="G344" s="40">
        <v>100</v>
      </c>
      <c r="H344" s="41">
        <f t="shared" si="37"/>
        <v>100</v>
      </c>
      <c r="I344" s="41">
        <f t="shared" si="37"/>
        <v>100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</row>
    <row r="345" spans="1:166" ht="18.350000000000001" x14ac:dyDescent="0.3">
      <c r="A345" s="14" t="s">
        <v>154</v>
      </c>
      <c r="B345" s="53">
        <v>9</v>
      </c>
      <c r="C345" s="53"/>
      <c r="D345" s="64"/>
      <c r="E345" s="65"/>
      <c r="F345" s="44">
        <f t="shared" ref="F345:I346" si="38">F346</f>
        <v>1524.4</v>
      </c>
      <c r="G345" s="44">
        <f t="shared" si="38"/>
        <v>1583.2</v>
      </c>
      <c r="H345" s="44">
        <f t="shared" si="38"/>
        <v>1524.4</v>
      </c>
      <c r="I345" s="44">
        <f t="shared" si="38"/>
        <v>1583.2</v>
      </c>
    </row>
    <row r="346" spans="1:166" ht="18.350000000000001" x14ac:dyDescent="0.3">
      <c r="A346" s="7" t="s">
        <v>31</v>
      </c>
      <c r="B346" s="58" t="s">
        <v>14</v>
      </c>
      <c r="C346" s="58" t="s">
        <v>15</v>
      </c>
      <c r="D346" s="58"/>
      <c r="E346" s="58"/>
      <c r="F346" s="40">
        <f t="shared" si="38"/>
        <v>1524.4</v>
      </c>
      <c r="G346" s="40">
        <f t="shared" si="38"/>
        <v>1583.2</v>
      </c>
      <c r="H346" s="40">
        <f t="shared" si="38"/>
        <v>1524.4</v>
      </c>
      <c r="I346" s="40">
        <f t="shared" si="38"/>
        <v>1583.2</v>
      </c>
    </row>
    <row r="347" spans="1:166" ht="31.95" x14ac:dyDescent="0.3">
      <c r="A347" s="29" t="s">
        <v>327</v>
      </c>
      <c r="B347" s="58" t="s">
        <v>14</v>
      </c>
      <c r="C347" s="58" t="s">
        <v>15</v>
      </c>
      <c r="D347" s="58" t="s">
        <v>328</v>
      </c>
      <c r="E347" s="58"/>
      <c r="F347" s="40">
        <f>F348</f>
        <v>1524.4</v>
      </c>
      <c r="G347" s="40">
        <f t="shared" ref="G347:I349" si="39">G348</f>
        <v>1583.2</v>
      </c>
      <c r="H347" s="40">
        <f t="shared" si="39"/>
        <v>1524.4</v>
      </c>
      <c r="I347" s="40">
        <f t="shared" si="39"/>
        <v>1583.2</v>
      </c>
    </row>
    <row r="348" spans="1:166" ht="47.55" x14ac:dyDescent="0.3">
      <c r="A348" s="29" t="s">
        <v>329</v>
      </c>
      <c r="B348" s="58" t="s">
        <v>14</v>
      </c>
      <c r="C348" s="58" t="s">
        <v>15</v>
      </c>
      <c r="D348" s="58" t="s">
        <v>330</v>
      </c>
      <c r="E348" s="58"/>
      <c r="F348" s="40">
        <f>F349</f>
        <v>1524.4</v>
      </c>
      <c r="G348" s="40">
        <f t="shared" si="39"/>
        <v>1583.2</v>
      </c>
      <c r="H348" s="40">
        <f t="shared" si="39"/>
        <v>1524.4</v>
      </c>
      <c r="I348" s="40">
        <f t="shared" si="39"/>
        <v>1583.2</v>
      </c>
    </row>
    <row r="349" spans="1:166" ht="31.95" x14ac:dyDescent="0.3">
      <c r="A349" s="29" t="s">
        <v>331</v>
      </c>
      <c r="B349" s="58" t="s">
        <v>14</v>
      </c>
      <c r="C349" s="58" t="s">
        <v>15</v>
      </c>
      <c r="D349" s="58" t="s">
        <v>332</v>
      </c>
      <c r="E349" s="58"/>
      <c r="F349" s="40">
        <f>F350</f>
        <v>1524.4</v>
      </c>
      <c r="G349" s="40">
        <f t="shared" si="39"/>
        <v>1583.2</v>
      </c>
      <c r="H349" s="40">
        <f t="shared" si="39"/>
        <v>1524.4</v>
      </c>
      <c r="I349" s="40">
        <f t="shared" si="39"/>
        <v>1583.2</v>
      </c>
    </row>
    <row r="350" spans="1:166" ht="140.6" x14ac:dyDescent="0.3">
      <c r="A350" s="35" t="s">
        <v>181</v>
      </c>
      <c r="B350" s="58" t="s">
        <v>14</v>
      </c>
      <c r="C350" s="58" t="s">
        <v>15</v>
      </c>
      <c r="D350" s="60" t="s">
        <v>143</v>
      </c>
      <c r="E350" s="71"/>
      <c r="F350" s="43">
        <f>F351</f>
        <v>1524.4</v>
      </c>
      <c r="G350" s="43">
        <f>G351</f>
        <v>1583.2</v>
      </c>
      <c r="H350" s="43">
        <f>H351</f>
        <v>1524.4</v>
      </c>
      <c r="I350" s="43">
        <f>I351</f>
        <v>1583.2</v>
      </c>
    </row>
    <row r="351" spans="1:166" ht="31.25" x14ac:dyDescent="0.3">
      <c r="A351" s="8" t="s">
        <v>86</v>
      </c>
      <c r="B351" s="58" t="s">
        <v>14</v>
      </c>
      <c r="C351" s="58" t="s">
        <v>15</v>
      </c>
      <c r="D351" s="60" t="s">
        <v>143</v>
      </c>
      <c r="E351" s="58">
        <v>200</v>
      </c>
      <c r="F351" s="43">
        <v>1524.4</v>
      </c>
      <c r="G351" s="43">
        <v>1583.2</v>
      </c>
      <c r="H351" s="43">
        <f>F351</f>
        <v>1524.4</v>
      </c>
      <c r="I351" s="43">
        <f>G351</f>
        <v>1583.2</v>
      </c>
    </row>
    <row r="352" spans="1:166" ht="18.350000000000001" x14ac:dyDescent="0.3">
      <c r="A352" s="6" t="s">
        <v>155</v>
      </c>
      <c r="B352" s="72">
        <v>10</v>
      </c>
      <c r="C352" s="72"/>
      <c r="D352" s="73"/>
      <c r="E352" s="74"/>
      <c r="F352" s="39">
        <f>F353+F359+F368</f>
        <v>73493.000000000015</v>
      </c>
      <c r="G352" s="39">
        <f>G353+G359+G368</f>
        <v>75070.100000000006</v>
      </c>
      <c r="H352" s="39">
        <f>H353+H359+H368</f>
        <v>72519.8</v>
      </c>
      <c r="I352" s="39">
        <f>I353+I359+I368</f>
        <v>73117.7</v>
      </c>
    </row>
    <row r="353" spans="1:9" ht="18.350000000000001" x14ac:dyDescent="0.3">
      <c r="A353" s="9" t="s">
        <v>19</v>
      </c>
      <c r="B353" s="57">
        <v>10</v>
      </c>
      <c r="C353" s="57">
        <v>1</v>
      </c>
      <c r="D353" s="58"/>
      <c r="E353" s="59"/>
      <c r="F353" s="43">
        <f>F354</f>
        <v>3027.9</v>
      </c>
      <c r="G353" s="43">
        <f t="shared" ref="G353:I356" si="40">G354</f>
        <v>3149</v>
      </c>
      <c r="H353" s="43">
        <f t="shared" si="40"/>
        <v>2952.2</v>
      </c>
      <c r="I353" s="43">
        <f t="shared" si="40"/>
        <v>2991.6</v>
      </c>
    </row>
    <row r="354" spans="1:9" ht="31.95" x14ac:dyDescent="0.3">
      <c r="A354" s="28" t="s">
        <v>231</v>
      </c>
      <c r="B354" s="57">
        <v>10</v>
      </c>
      <c r="C354" s="57">
        <v>1</v>
      </c>
      <c r="D354" s="58" t="s">
        <v>212</v>
      </c>
      <c r="E354" s="59"/>
      <c r="F354" s="43">
        <f>F355</f>
        <v>3027.9</v>
      </c>
      <c r="G354" s="43">
        <f t="shared" si="40"/>
        <v>3149</v>
      </c>
      <c r="H354" s="43">
        <f t="shared" si="40"/>
        <v>2952.2</v>
      </c>
      <c r="I354" s="43">
        <f t="shared" si="40"/>
        <v>2991.6</v>
      </c>
    </row>
    <row r="355" spans="1:9" ht="31.95" x14ac:dyDescent="0.3">
      <c r="A355" s="32" t="s">
        <v>333</v>
      </c>
      <c r="B355" s="57">
        <v>10</v>
      </c>
      <c r="C355" s="57">
        <v>1</v>
      </c>
      <c r="D355" s="58" t="s">
        <v>334</v>
      </c>
      <c r="E355" s="59"/>
      <c r="F355" s="43">
        <f>F356</f>
        <v>3027.9</v>
      </c>
      <c r="G355" s="43">
        <f t="shared" si="40"/>
        <v>3149</v>
      </c>
      <c r="H355" s="43">
        <f t="shared" si="40"/>
        <v>2952.2</v>
      </c>
      <c r="I355" s="43">
        <f t="shared" si="40"/>
        <v>2991.6</v>
      </c>
    </row>
    <row r="356" spans="1:9" ht="31.95" x14ac:dyDescent="0.3">
      <c r="A356" s="36" t="s">
        <v>335</v>
      </c>
      <c r="B356" s="57">
        <v>10</v>
      </c>
      <c r="C356" s="57">
        <v>1</v>
      </c>
      <c r="D356" s="58" t="s">
        <v>336</v>
      </c>
      <c r="E356" s="59"/>
      <c r="F356" s="43">
        <f>F357</f>
        <v>3027.9</v>
      </c>
      <c r="G356" s="43">
        <f t="shared" si="40"/>
        <v>3149</v>
      </c>
      <c r="H356" s="43">
        <f t="shared" si="40"/>
        <v>2952.2</v>
      </c>
      <c r="I356" s="43">
        <f t="shared" si="40"/>
        <v>2991.6</v>
      </c>
    </row>
    <row r="357" spans="1:9" ht="31.95" x14ac:dyDescent="0.3">
      <c r="A357" s="28" t="s">
        <v>186</v>
      </c>
      <c r="B357" s="57">
        <v>10</v>
      </c>
      <c r="C357" s="57">
        <v>1</v>
      </c>
      <c r="D357" s="60" t="s">
        <v>144</v>
      </c>
      <c r="E357" s="58"/>
      <c r="F357" s="43">
        <f>F358</f>
        <v>3027.9</v>
      </c>
      <c r="G357" s="43">
        <f>G358</f>
        <v>3149</v>
      </c>
      <c r="H357" s="43">
        <f>H358</f>
        <v>2952.2</v>
      </c>
      <c r="I357" s="43">
        <f>I358</f>
        <v>2991.6</v>
      </c>
    </row>
    <row r="358" spans="1:9" ht="18.350000000000001" x14ac:dyDescent="0.3">
      <c r="A358" s="7" t="s">
        <v>40</v>
      </c>
      <c r="B358" s="57">
        <v>10</v>
      </c>
      <c r="C358" s="57">
        <v>1</v>
      </c>
      <c r="D358" s="60" t="s">
        <v>144</v>
      </c>
      <c r="E358" s="60" t="s">
        <v>41</v>
      </c>
      <c r="F358" s="40">
        <f>3027.9</f>
        <v>3027.9</v>
      </c>
      <c r="G358" s="40">
        <f>3149</f>
        <v>3149</v>
      </c>
      <c r="H358" s="41">
        <f>ROUND(F358*0.975,1)</f>
        <v>2952.2</v>
      </c>
      <c r="I358" s="41">
        <f>ROUND(G358*0.95,1)</f>
        <v>2991.6</v>
      </c>
    </row>
    <row r="359" spans="1:9" ht="18.350000000000001" x14ac:dyDescent="0.3">
      <c r="A359" s="9" t="s">
        <v>16</v>
      </c>
      <c r="B359" s="66">
        <v>10</v>
      </c>
      <c r="C359" s="66">
        <v>3</v>
      </c>
      <c r="D359" s="60"/>
      <c r="E359" s="75"/>
      <c r="F359" s="43">
        <f>F360+F365</f>
        <v>6024.7</v>
      </c>
      <c r="G359" s="43">
        <f>G360+G365</f>
        <v>6024.7</v>
      </c>
      <c r="H359" s="43">
        <f>H360+H365</f>
        <v>5896.7</v>
      </c>
      <c r="I359" s="43">
        <f>I360+I365</f>
        <v>5768.7999999999993</v>
      </c>
    </row>
    <row r="360" spans="1:9" ht="31.95" x14ac:dyDescent="0.3">
      <c r="A360" s="28" t="s">
        <v>337</v>
      </c>
      <c r="B360" s="66">
        <v>10</v>
      </c>
      <c r="C360" s="66">
        <v>3</v>
      </c>
      <c r="D360" s="60" t="s">
        <v>338</v>
      </c>
      <c r="E360" s="75"/>
      <c r="F360" s="43">
        <f>F361</f>
        <v>905.9</v>
      </c>
      <c r="G360" s="43">
        <f t="shared" ref="G360:I362" si="41">G361</f>
        <v>905.9</v>
      </c>
      <c r="H360" s="43">
        <f t="shared" si="41"/>
        <v>905.9</v>
      </c>
      <c r="I360" s="43">
        <f t="shared" si="41"/>
        <v>905.9</v>
      </c>
    </row>
    <row r="361" spans="1:9" ht="39.75" customHeight="1" x14ac:dyDescent="0.3">
      <c r="A361" s="28" t="s">
        <v>339</v>
      </c>
      <c r="B361" s="66">
        <v>10</v>
      </c>
      <c r="C361" s="66">
        <v>3</v>
      </c>
      <c r="D361" s="60" t="s">
        <v>340</v>
      </c>
      <c r="E361" s="75"/>
      <c r="F361" s="43">
        <f>F362</f>
        <v>905.9</v>
      </c>
      <c r="G361" s="43">
        <f t="shared" si="41"/>
        <v>905.9</v>
      </c>
      <c r="H361" s="43">
        <f t="shared" si="41"/>
        <v>905.9</v>
      </c>
      <c r="I361" s="43">
        <f t="shared" si="41"/>
        <v>905.9</v>
      </c>
    </row>
    <row r="362" spans="1:9" ht="54" customHeight="1" x14ac:dyDescent="0.3">
      <c r="A362" s="28" t="s">
        <v>341</v>
      </c>
      <c r="B362" s="66">
        <v>10</v>
      </c>
      <c r="C362" s="66">
        <v>3</v>
      </c>
      <c r="D362" s="60" t="s">
        <v>342</v>
      </c>
      <c r="E362" s="75"/>
      <c r="F362" s="43">
        <f>F363</f>
        <v>905.9</v>
      </c>
      <c r="G362" s="43">
        <f t="shared" si="41"/>
        <v>905.9</v>
      </c>
      <c r="H362" s="43">
        <f t="shared" si="41"/>
        <v>905.9</v>
      </c>
      <c r="I362" s="43">
        <f t="shared" si="41"/>
        <v>905.9</v>
      </c>
    </row>
    <row r="363" spans="1:9" s="1" customFormat="1" ht="77.95" customHeight="1" x14ac:dyDescent="0.3">
      <c r="A363" s="7" t="s">
        <v>187</v>
      </c>
      <c r="B363" s="58" t="s">
        <v>32</v>
      </c>
      <c r="C363" s="58" t="s">
        <v>7</v>
      </c>
      <c r="D363" s="60" t="s">
        <v>188</v>
      </c>
      <c r="E363" s="50"/>
      <c r="F363" s="48">
        <f>F364</f>
        <v>905.9</v>
      </c>
      <c r="G363" s="48">
        <f>G364</f>
        <v>905.9</v>
      </c>
      <c r="H363" s="48">
        <f>H364</f>
        <v>905.9</v>
      </c>
      <c r="I363" s="48">
        <f>I364</f>
        <v>905.9</v>
      </c>
    </row>
    <row r="364" spans="1:9" s="1" customFormat="1" ht="18.350000000000001" x14ac:dyDescent="0.3">
      <c r="A364" s="7" t="s">
        <v>40</v>
      </c>
      <c r="B364" s="58" t="s">
        <v>32</v>
      </c>
      <c r="C364" s="58" t="s">
        <v>7</v>
      </c>
      <c r="D364" s="60" t="s">
        <v>188</v>
      </c>
      <c r="E364" s="69">
        <v>300</v>
      </c>
      <c r="F364" s="48">
        <v>905.9</v>
      </c>
      <c r="G364" s="48">
        <v>905.9</v>
      </c>
      <c r="H364" s="48">
        <f>F364</f>
        <v>905.9</v>
      </c>
      <c r="I364" s="48">
        <f>G364</f>
        <v>905.9</v>
      </c>
    </row>
    <row r="365" spans="1:9" s="1" customFormat="1" ht="18.350000000000001" x14ac:dyDescent="0.3">
      <c r="A365" s="7" t="s">
        <v>72</v>
      </c>
      <c r="B365" s="58" t="s">
        <v>32</v>
      </c>
      <c r="C365" s="58" t="s">
        <v>7</v>
      </c>
      <c r="D365" s="60" t="s">
        <v>96</v>
      </c>
      <c r="E365" s="69"/>
      <c r="F365" s="48">
        <f t="shared" ref="F365:I366" si="42">F366</f>
        <v>5118.8</v>
      </c>
      <c r="G365" s="48">
        <f t="shared" si="42"/>
        <v>5118.8</v>
      </c>
      <c r="H365" s="48">
        <f t="shared" si="42"/>
        <v>4990.8</v>
      </c>
      <c r="I365" s="48">
        <f t="shared" si="42"/>
        <v>4862.8999999999996</v>
      </c>
    </row>
    <row r="366" spans="1:9" s="1" customFormat="1" ht="46.9" x14ac:dyDescent="0.3">
      <c r="A366" s="7" t="s">
        <v>403</v>
      </c>
      <c r="B366" s="58" t="s">
        <v>32</v>
      </c>
      <c r="C366" s="58" t="s">
        <v>7</v>
      </c>
      <c r="D366" s="60" t="s">
        <v>402</v>
      </c>
      <c r="E366" s="69"/>
      <c r="F366" s="48">
        <f t="shared" si="42"/>
        <v>5118.8</v>
      </c>
      <c r="G366" s="48">
        <f t="shared" si="42"/>
        <v>5118.8</v>
      </c>
      <c r="H366" s="48">
        <f t="shared" si="42"/>
        <v>4990.8</v>
      </c>
      <c r="I366" s="48">
        <f t="shared" si="42"/>
        <v>4862.8999999999996</v>
      </c>
    </row>
    <row r="367" spans="1:9" s="1" customFormat="1" ht="18.350000000000001" x14ac:dyDescent="0.3">
      <c r="A367" s="7" t="s">
        <v>40</v>
      </c>
      <c r="B367" s="58" t="s">
        <v>32</v>
      </c>
      <c r="C367" s="58" t="s">
        <v>7</v>
      </c>
      <c r="D367" s="60" t="s">
        <v>402</v>
      </c>
      <c r="E367" s="69" t="s">
        <v>41</v>
      </c>
      <c r="F367" s="48">
        <v>5118.8</v>
      </c>
      <c r="G367" s="48">
        <v>5118.8</v>
      </c>
      <c r="H367" s="80">
        <f>ROUND(F367*0.975,1)</f>
        <v>4990.8</v>
      </c>
      <c r="I367" s="80">
        <f>ROUND(G367*0.95,1)</f>
        <v>4862.8999999999996</v>
      </c>
    </row>
    <row r="368" spans="1:9" ht="18.350000000000001" x14ac:dyDescent="0.3">
      <c r="A368" s="7" t="s">
        <v>42</v>
      </c>
      <c r="B368" s="58">
        <v>10</v>
      </c>
      <c r="C368" s="60" t="s">
        <v>29</v>
      </c>
      <c r="D368" s="67"/>
      <c r="E368" s="60"/>
      <c r="F368" s="40">
        <f>F369</f>
        <v>64440.400000000009</v>
      </c>
      <c r="G368" s="40">
        <f>G369</f>
        <v>65896.400000000009</v>
      </c>
      <c r="H368" s="40">
        <f>H369</f>
        <v>63670.900000000009</v>
      </c>
      <c r="I368" s="40">
        <f>I369</f>
        <v>64357.3</v>
      </c>
    </row>
    <row r="369" spans="1:9" ht="31.25" x14ac:dyDescent="0.3">
      <c r="A369" s="7" t="s">
        <v>208</v>
      </c>
      <c r="B369" s="58" t="s">
        <v>32</v>
      </c>
      <c r="C369" s="60" t="s">
        <v>29</v>
      </c>
      <c r="D369" s="68" t="s">
        <v>212</v>
      </c>
      <c r="E369" s="60"/>
      <c r="F369" s="40">
        <f>F370+F374</f>
        <v>64440.400000000009</v>
      </c>
      <c r="G369" s="40">
        <f>G370+G374</f>
        <v>65896.400000000009</v>
      </c>
      <c r="H369" s="40">
        <f>H370+H374</f>
        <v>63670.900000000009</v>
      </c>
      <c r="I369" s="40">
        <f>I370+I374</f>
        <v>64357.3</v>
      </c>
    </row>
    <row r="370" spans="1:9" ht="18.350000000000001" x14ac:dyDescent="0.3">
      <c r="A370" s="7" t="s">
        <v>209</v>
      </c>
      <c r="B370" s="58" t="s">
        <v>32</v>
      </c>
      <c r="C370" s="60" t="s">
        <v>29</v>
      </c>
      <c r="D370" s="68" t="s">
        <v>213</v>
      </c>
      <c r="E370" s="60"/>
      <c r="F370" s="40">
        <f t="shared" ref="F370:I371" si="43">F371</f>
        <v>9469.2000000000007</v>
      </c>
      <c r="G370" s="40">
        <f t="shared" si="43"/>
        <v>9957.7000000000007</v>
      </c>
      <c r="H370" s="40">
        <f t="shared" si="43"/>
        <v>9469.2000000000007</v>
      </c>
      <c r="I370" s="40">
        <f t="shared" si="43"/>
        <v>9957.7000000000007</v>
      </c>
    </row>
    <row r="371" spans="1:9" ht="93.75" x14ac:dyDescent="0.3">
      <c r="A371" s="7" t="s">
        <v>210</v>
      </c>
      <c r="B371" s="58" t="s">
        <v>32</v>
      </c>
      <c r="C371" s="60" t="s">
        <v>29</v>
      </c>
      <c r="D371" s="68" t="s">
        <v>214</v>
      </c>
      <c r="E371" s="60"/>
      <c r="F371" s="40">
        <f t="shared" si="43"/>
        <v>9469.2000000000007</v>
      </c>
      <c r="G371" s="40">
        <f t="shared" si="43"/>
        <v>9957.7000000000007</v>
      </c>
      <c r="H371" s="40">
        <f t="shared" si="43"/>
        <v>9469.2000000000007</v>
      </c>
      <c r="I371" s="40">
        <f t="shared" si="43"/>
        <v>9957.7000000000007</v>
      </c>
    </row>
    <row r="372" spans="1:9" ht="93.75" x14ac:dyDescent="0.3">
      <c r="A372" s="15" t="s">
        <v>211</v>
      </c>
      <c r="B372" s="58" t="s">
        <v>32</v>
      </c>
      <c r="C372" s="60" t="s">
        <v>29</v>
      </c>
      <c r="D372" s="68" t="s">
        <v>215</v>
      </c>
      <c r="E372" s="58"/>
      <c r="F372" s="40">
        <f>F373</f>
        <v>9469.2000000000007</v>
      </c>
      <c r="G372" s="40">
        <f>G373</f>
        <v>9957.7000000000007</v>
      </c>
      <c r="H372" s="40">
        <f>F372</f>
        <v>9469.2000000000007</v>
      </c>
      <c r="I372" s="40">
        <f>G372</f>
        <v>9957.7000000000007</v>
      </c>
    </row>
    <row r="373" spans="1:9" ht="18.350000000000001" x14ac:dyDescent="0.3">
      <c r="A373" s="7" t="s">
        <v>40</v>
      </c>
      <c r="B373" s="58" t="s">
        <v>32</v>
      </c>
      <c r="C373" s="60" t="s">
        <v>29</v>
      </c>
      <c r="D373" s="68" t="s">
        <v>215</v>
      </c>
      <c r="E373" s="60" t="s">
        <v>41</v>
      </c>
      <c r="F373" s="40">
        <v>9469.2000000000007</v>
      </c>
      <c r="G373" s="40">
        <v>9957.7000000000007</v>
      </c>
      <c r="H373" s="40">
        <f>F373</f>
        <v>9469.2000000000007</v>
      </c>
      <c r="I373" s="40">
        <f>G373</f>
        <v>9957.7000000000007</v>
      </c>
    </row>
    <row r="374" spans="1:9" ht="31.95" x14ac:dyDescent="0.3">
      <c r="A374" s="29" t="s">
        <v>232</v>
      </c>
      <c r="B374" s="58" t="s">
        <v>32</v>
      </c>
      <c r="C374" s="60" t="s">
        <v>29</v>
      </c>
      <c r="D374" s="68" t="s">
        <v>233</v>
      </c>
      <c r="E374" s="60"/>
      <c r="F374" s="40">
        <f>F375+F378</f>
        <v>54971.200000000004</v>
      </c>
      <c r="G374" s="40">
        <f>G375+G378</f>
        <v>55938.700000000004</v>
      </c>
      <c r="H374" s="40">
        <f>H375+H378</f>
        <v>54201.700000000004</v>
      </c>
      <c r="I374" s="40">
        <f>I375+I378</f>
        <v>54399.600000000006</v>
      </c>
    </row>
    <row r="375" spans="1:9" ht="31.95" x14ac:dyDescent="0.3">
      <c r="A375" s="29" t="s">
        <v>343</v>
      </c>
      <c r="B375" s="58" t="s">
        <v>32</v>
      </c>
      <c r="C375" s="60" t="s">
        <v>29</v>
      </c>
      <c r="D375" s="68" t="s">
        <v>344</v>
      </c>
      <c r="E375" s="60"/>
      <c r="F375" s="40">
        <f t="shared" ref="F375:I376" si="44">F376</f>
        <v>30781.9</v>
      </c>
      <c r="G375" s="40">
        <f t="shared" si="44"/>
        <v>30781.9</v>
      </c>
      <c r="H375" s="40">
        <f t="shared" si="44"/>
        <v>30012.400000000001</v>
      </c>
      <c r="I375" s="40">
        <f t="shared" si="44"/>
        <v>29242.799999999999</v>
      </c>
    </row>
    <row r="376" spans="1:9" ht="62.5" x14ac:dyDescent="0.3">
      <c r="A376" s="7" t="s">
        <v>43</v>
      </c>
      <c r="B376" s="58">
        <v>10</v>
      </c>
      <c r="C376" s="60" t="s">
        <v>29</v>
      </c>
      <c r="D376" s="60" t="s">
        <v>145</v>
      </c>
      <c r="E376" s="60"/>
      <c r="F376" s="40">
        <f t="shared" si="44"/>
        <v>30781.9</v>
      </c>
      <c r="G376" s="40">
        <f t="shared" si="44"/>
        <v>30781.9</v>
      </c>
      <c r="H376" s="40">
        <f t="shared" si="44"/>
        <v>30012.400000000001</v>
      </c>
      <c r="I376" s="40">
        <f t="shared" si="44"/>
        <v>29242.799999999999</v>
      </c>
    </row>
    <row r="377" spans="1:9" ht="18.350000000000001" x14ac:dyDescent="0.3">
      <c r="A377" s="7" t="s">
        <v>40</v>
      </c>
      <c r="B377" s="58">
        <v>10</v>
      </c>
      <c r="C377" s="60" t="s">
        <v>29</v>
      </c>
      <c r="D377" s="60" t="s">
        <v>145</v>
      </c>
      <c r="E377" s="60" t="s">
        <v>41</v>
      </c>
      <c r="F377" s="40">
        <v>30781.9</v>
      </c>
      <c r="G377" s="40">
        <v>30781.9</v>
      </c>
      <c r="H377" s="41">
        <f>ROUND(F377*0.975,1)</f>
        <v>30012.400000000001</v>
      </c>
      <c r="I377" s="41">
        <f>ROUND(G377*0.95,1)</f>
        <v>29242.799999999999</v>
      </c>
    </row>
    <row r="378" spans="1:9" ht="46.9" x14ac:dyDescent="0.3">
      <c r="A378" s="7" t="s">
        <v>234</v>
      </c>
      <c r="B378" s="58">
        <v>10</v>
      </c>
      <c r="C378" s="60" t="s">
        <v>29</v>
      </c>
      <c r="D378" s="60" t="s">
        <v>230</v>
      </c>
      <c r="E378" s="60"/>
      <c r="F378" s="40">
        <f>F379+F381+F383</f>
        <v>24189.300000000003</v>
      </c>
      <c r="G378" s="40">
        <f>G379+G381+G383</f>
        <v>25156.800000000003</v>
      </c>
      <c r="H378" s="40">
        <f>H379+H381+H383</f>
        <v>24189.300000000003</v>
      </c>
      <c r="I378" s="40">
        <f>I379+I381+I383</f>
        <v>25156.800000000003</v>
      </c>
    </row>
    <row r="379" spans="1:9" s="1" customFormat="1" ht="72.7" customHeight="1" x14ac:dyDescent="0.3">
      <c r="A379" s="7" t="s">
        <v>183</v>
      </c>
      <c r="B379" s="58">
        <v>10</v>
      </c>
      <c r="C379" s="60" t="s">
        <v>29</v>
      </c>
      <c r="D379" s="60" t="s">
        <v>206</v>
      </c>
      <c r="E379" s="50"/>
      <c r="F379" s="40">
        <f>F380</f>
        <v>5854.9</v>
      </c>
      <c r="G379" s="40">
        <f>G380</f>
        <v>6089.1</v>
      </c>
      <c r="H379" s="40">
        <f>H380</f>
        <v>5854.9</v>
      </c>
      <c r="I379" s="40">
        <f>I380</f>
        <v>6089.1</v>
      </c>
    </row>
    <row r="380" spans="1:9" s="1" customFormat="1" ht="18.350000000000001" x14ac:dyDescent="0.3">
      <c r="A380" s="7" t="s">
        <v>40</v>
      </c>
      <c r="B380" s="58">
        <v>10</v>
      </c>
      <c r="C380" s="60" t="s">
        <v>29</v>
      </c>
      <c r="D380" s="60" t="s">
        <v>206</v>
      </c>
      <c r="E380" s="60" t="s">
        <v>41</v>
      </c>
      <c r="F380" s="40">
        <v>5854.9</v>
      </c>
      <c r="G380" s="40">
        <v>6089.1</v>
      </c>
      <c r="H380" s="40">
        <f>F380</f>
        <v>5854.9</v>
      </c>
      <c r="I380" s="40">
        <f>G380</f>
        <v>6089.1</v>
      </c>
    </row>
    <row r="381" spans="1:9" s="1" customFormat="1" ht="78.150000000000006" x14ac:dyDescent="0.3">
      <c r="A381" s="7" t="s">
        <v>184</v>
      </c>
      <c r="B381" s="58">
        <v>10</v>
      </c>
      <c r="C381" s="60" t="s">
        <v>29</v>
      </c>
      <c r="D381" s="60" t="s">
        <v>205</v>
      </c>
      <c r="E381" s="60"/>
      <c r="F381" s="40">
        <f>F382</f>
        <v>3870.8</v>
      </c>
      <c r="G381" s="40">
        <f>G382</f>
        <v>4025.6</v>
      </c>
      <c r="H381" s="40">
        <f>H382</f>
        <v>3870.8</v>
      </c>
      <c r="I381" s="40">
        <f>I382</f>
        <v>4025.6</v>
      </c>
    </row>
    <row r="382" spans="1:9" s="1" customFormat="1" ht="18.350000000000001" x14ac:dyDescent="0.3">
      <c r="A382" s="7" t="s">
        <v>40</v>
      </c>
      <c r="B382" s="58">
        <v>10</v>
      </c>
      <c r="C382" s="60" t="s">
        <v>29</v>
      </c>
      <c r="D382" s="60" t="s">
        <v>205</v>
      </c>
      <c r="E382" s="60" t="s">
        <v>41</v>
      </c>
      <c r="F382" s="40">
        <v>3870.8</v>
      </c>
      <c r="G382" s="40">
        <v>4025.6</v>
      </c>
      <c r="H382" s="40">
        <f>F382</f>
        <v>3870.8</v>
      </c>
      <c r="I382" s="40">
        <f>G382</f>
        <v>4025.6</v>
      </c>
    </row>
    <row r="383" spans="1:9" s="1" customFormat="1" ht="62.5" x14ac:dyDescent="0.3">
      <c r="A383" s="7" t="s">
        <v>185</v>
      </c>
      <c r="B383" s="58">
        <v>10</v>
      </c>
      <c r="C383" s="60" t="s">
        <v>29</v>
      </c>
      <c r="D383" s="60" t="s">
        <v>207</v>
      </c>
      <c r="E383" s="60"/>
      <c r="F383" s="40">
        <f>F384</f>
        <v>14463.6</v>
      </c>
      <c r="G383" s="40">
        <f>G384</f>
        <v>15042.1</v>
      </c>
      <c r="H383" s="40">
        <f>H384</f>
        <v>14463.6</v>
      </c>
      <c r="I383" s="40">
        <f>I384</f>
        <v>15042.1</v>
      </c>
    </row>
    <row r="384" spans="1:9" s="1" customFormat="1" ht="18.350000000000001" x14ac:dyDescent="0.3">
      <c r="A384" s="7" t="s">
        <v>40</v>
      </c>
      <c r="B384" s="58">
        <v>10</v>
      </c>
      <c r="C384" s="60" t="s">
        <v>29</v>
      </c>
      <c r="D384" s="60" t="s">
        <v>207</v>
      </c>
      <c r="E384" s="60" t="s">
        <v>41</v>
      </c>
      <c r="F384" s="40">
        <v>14463.6</v>
      </c>
      <c r="G384" s="40">
        <v>15042.1</v>
      </c>
      <c r="H384" s="40">
        <f>F384</f>
        <v>14463.6</v>
      </c>
      <c r="I384" s="40">
        <f>G384</f>
        <v>15042.1</v>
      </c>
    </row>
    <row r="385" spans="1:9" ht="18.350000000000001" x14ac:dyDescent="0.3">
      <c r="A385" s="30" t="s">
        <v>156</v>
      </c>
      <c r="B385" s="53">
        <v>11</v>
      </c>
      <c r="C385" s="53"/>
      <c r="D385" s="64"/>
      <c r="E385" s="65"/>
      <c r="F385" s="39">
        <f>F386+F400</f>
        <v>202537.60000000001</v>
      </c>
      <c r="G385" s="39">
        <f>G400+G386</f>
        <v>204451.69999999998</v>
      </c>
      <c r="H385" s="39">
        <f>H400+H386</f>
        <v>197474.2</v>
      </c>
      <c r="I385" s="39">
        <f>I400+I386</f>
        <v>194229.1</v>
      </c>
    </row>
    <row r="386" spans="1:9" ht="18.350000000000001" x14ac:dyDescent="0.3">
      <c r="A386" s="37" t="s">
        <v>161</v>
      </c>
      <c r="B386" s="58">
        <v>11</v>
      </c>
      <c r="C386" s="60" t="s">
        <v>4</v>
      </c>
      <c r="D386" s="60"/>
      <c r="E386" s="58"/>
      <c r="F386" s="40">
        <f>F391+F387</f>
        <v>199837.6</v>
      </c>
      <c r="G386" s="40">
        <f>G391+G387</f>
        <v>201751.69999999998</v>
      </c>
      <c r="H386" s="40">
        <f>H391+H387</f>
        <v>194841.7</v>
      </c>
      <c r="I386" s="40">
        <f>I391+I387</f>
        <v>191664.1</v>
      </c>
    </row>
    <row r="387" spans="1:9" ht="62.5" x14ac:dyDescent="0.3">
      <c r="A387" s="7" t="s">
        <v>392</v>
      </c>
      <c r="B387" s="58">
        <v>11</v>
      </c>
      <c r="C387" s="60" t="s">
        <v>4</v>
      </c>
      <c r="D387" s="60" t="s">
        <v>309</v>
      </c>
      <c r="E387" s="58"/>
      <c r="F387" s="81">
        <f t="shared" ref="F387:I389" si="45">F388</f>
        <v>2277.6</v>
      </c>
      <c r="G387" s="81">
        <f t="shared" si="45"/>
        <v>2277.6</v>
      </c>
      <c r="H387" s="82">
        <f t="shared" si="45"/>
        <v>2220.6999999999998</v>
      </c>
      <c r="I387" s="81">
        <f t="shared" si="45"/>
        <v>2163.6999999999998</v>
      </c>
    </row>
    <row r="388" spans="1:9" ht="31.95" x14ac:dyDescent="0.3">
      <c r="A388" s="32" t="s">
        <v>310</v>
      </c>
      <c r="B388" s="58">
        <v>11</v>
      </c>
      <c r="C388" s="60" t="s">
        <v>4</v>
      </c>
      <c r="D388" s="60" t="s">
        <v>311</v>
      </c>
      <c r="E388" s="58"/>
      <c r="F388" s="81">
        <f t="shared" si="45"/>
        <v>2277.6</v>
      </c>
      <c r="G388" s="81">
        <f t="shared" si="45"/>
        <v>2277.6</v>
      </c>
      <c r="H388" s="82">
        <f t="shared" si="45"/>
        <v>2220.6999999999998</v>
      </c>
      <c r="I388" s="81">
        <f t="shared" si="45"/>
        <v>2163.6999999999998</v>
      </c>
    </row>
    <row r="389" spans="1:9" ht="18.350000000000001" x14ac:dyDescent="0.3">
      <c r="A389" s="28" t="s">
        <v>249</v>
      </c>
      <c r="B389" s="58">
        <v>11</v>
      </c>
      <c r="C389" s="60" t="s">
        <v>4</v>
      </c>
      <c r="D389" s="60" t="s">
        <v>135</v>
      </c>
      <c r="E389" s="58"/>
      <c r="F389" s="81">
        <f t="shared" si="45"/>
        <v>2277.6</v>
      </c>
      <c r="G389" s="81">
        <f t="shared" si="45"/>
        <v>2277.6</v>
      </c>
      <c r="H389" s="82">
        <f t="shared" si="45"/>
        <v>2220.6999999999998</v>
      </c>
      <c r="I389" s="81">
        <f t="shared" si="45"/>
        <v>2163.6999999999998</v>
      </c>
    </row>
    <row r="390" spans="1:9" ht="31.25" x14ac:dyDescent="0.3">
      <c r="A390" s="8" t="s">
        <v>37</v>
      </c>
      <c r="B390" s="58">
        <v>11</v>
      </c>
      <c r="C390" s="60" t="s">
        <v>4</v>
      </c>
      <c r="D390" s="60" t="s">
        <v>135</v>
      </c>
      <c r="E390" s="58">
        <v>600</v>
      </c>
      <c r="F390" s="81">
        <f>2277.6</f>
        <v>2277.6</v>
      </c>
      <c r="G390" s="81">
        <v>2277.6</v>
      </c>
      <c r="H390" s="82">
        <f>ROUND(F390*0.975,1)</f>
        <v>2220.6999999999998</v>
      </c>
      <c r="I390" s="81">
        <f>ROUND(G390*0.95,1)</f>
        <v>2163.6999999999998</v>
      </c>
    </row>
    <row r="391" spans="1:9" ht="46.9" x14ac:dyDescent="0.3">
      <c r="A391" s="7" t="s">
        <v>395</v>
      </c>
      <c r="B391" s="58">
        <v>11</v>
      </c>
      <c r="C391" s="60" t="s">
        <v>4</v>
      </c>
      <c r="D391" s="60" t="s">
        <v>359</v>
      </c>
      <c r="E391" s="58"/>
      <c r="F391" s="40">
        <f>F392</f>
        <v>197560</v>
      </c>
      <c r="G391" s="40">
        <f t="shared" ref="G391:I392" si="46">G392</f>
        <v>199474.09999999998</v>
      </c>
      <c r="H391" s="40">
        <f t="shared" si="46"/>
        <v>192621</v>
      </c>
      <c r="I391" s="40">
        <f t="shared" si="46"/>
        <v>189500.4</v>
      </c>
    </row>
    <row r="392" spans="1:9" ht="18.350000000000001" x14ac:dyDescent="0.3">
      <c r="A392" s="28" t="s">
        <v>346</v>
      </c>
      <c r="B392" s="58">
        <v>11</v>
      </c>
      <c r="C392" s="60" t="s">
        <v>4</v>
      </c>
      <c r="D392" s="60" t="s">
        <v>364</v>
      </c>
      <c r="E392" s="58"/>
      <c r="F392" s="40">
        <f>F393</f>
        <v>197560</v>
      </c>
      <c r="G392" s="40">
        <f t="shared" si="46"/>
        <v>199474.09999999998</v>
      </c>
      <c r="H392" s="40">
        <f t="shared" si="46"/>
        <v>192621</v>
      </c>
      <c r="I392" s="40">
        <f t="shared" si="46"/>
        <v>189500.4</v>
      </c>
    </row>
    <row r="393" spans="1:9" ht="31.95" x14ac:dyDescent="0.3">
      <c r="A393" s="28" t="s">
        <v>347</v>
      </c>
      <c r="B393" s="58">
        <v>11</v>
      </c>
      <c r="C393" s="60" t="s">
        <v>4</v>
      </c>
      <c r="D393" s="60" t="s">
        <v>365</v>
      </c>
      <c r="E393" s="58"/>
      <c r="F393" s="40">
        <f>F394+F398</f>
        <v>197560</v>
      </c>
      <c r="G393" s="40">
        <f>G394+G398</f>
        <v>199474.09999999998</v>
      </c>
      <c r="H393" s="40">
        <f>H394+H398</f>
        <v>192621</v>
      </c>
      <c r="I393" s="40">
        <f>I394+I398</f>
        <v>189500.4</v>
      </c>
    </row>
    <row r="394" spans="1:9" ht="18.350000000000001" x14ac:dyDescent="0.3">
      <c r="A394" s="28" t="s">
        <v>366</v>
      </c>
      <c r="B394" s="58">
        <v>11</v>
      </c>
      <c r="C394" s="60" t="s">
        <v>4</v>
      </c>
      <c r="D394" s="60" t="s">
        <v>367</v>
      </c>
      <c r="E394" s="58"/>
      <c r="F394" s="40">
        <f>F396+F397+F395</f>
        <v>164815.5</v>
      </c>
      <c r="G394" s="40">
        <f>G396+G397+G395</f>
        <v>166699.79999999999</v>
      </c>
      <c r="H394" s="40">
        <f>H396+H397+H395</f>
        <v>160695.1</v>
      </c>
      <c r="I394" s="40">
        <f>I396+I397+I395</f>
        <v>158364.79999999999</v>
      </c>
    </row>
    <row r="395" spans="1:9" ht="86.3" customHeight="1" x14ac:dyDescent="0.3">
      <c r="A395" s="28" t="s">
        <v>34</v>
      </c>
      <c r="B395" s="58">
        <v>11</v>
      </c>
      <c r="C395" s="60" t="s">
        <v>4</v>
      </c>
      <c r="D395" s="60" t="s">
        <v>367</v>
      </c>
      <c r="E395" s="58">
        <v>100</v>
      </c>
      <c r="F395" s="40">
        <v>20790.400000000001</v>
      </c>
      <c r="G395" s="40">
        <v>20790.400000000001</v>
      </c>
      <c r="H395" s="40">
        <f>F395</f>
        <v>20790.400000000001</v>
      </c>
      <c r="I395" s="40">
        <f>G395</f>
        <v>20790.400000000001</v>
      </c>
    </row>
    <row r="396" spans="1:9" ht="31.25" x14ac:dyDescent="0.3">
      <c r="A396" s="8" t="s">
        <v>86</v>
      </c>
      <c r="B396" s="58">
        <v>11</v>
      </c>
      <c r="C396" s="60" t="s">
        <v>4</v>
      </c>
      <c r="D396" s="60" t="s">
        <v>367</v>
      </c>
      <c r="E396" s="58">
        <v>200</v>
      </c>
      <c r="F396" s="40">
        <f>5200</f>
        <v>5200</v>
      </c>
      <c r="G396" s="40">
        <f>5200</f>
        <v>5200</v>
      </c>
      <c r="H396" s="41">
        <f>ROUND(F396*0.975-(H395*0.025),1)</f>
        <v>4550.2</v>
      </c>
      <c r="I396" s="41">
        <f>ROUND(G396*0.95-(I395*0.05),1)</f>
        <v>3900.5</v>
      </c>
    </row>
    <row r="397" spans="1:9" ht="31.25" x14ac:dyDescent="0.3">
      <c r="A397" s="8" t="s">
        <v>37</v>
      </c>
      <c r="B397" s="58">
        <v>11</v>
      </c>
      <c r="C397" s="60" t="s">
        <v>4</v>
      </c>
      <c r="D397" s="60" t="s">
        <v>367</v>
      </c>
      <c r="E397" s="58">
        <v>600</v>
      </c>
      <c r="F397" s="40">
        <f>138825.1</f>
        <v>138825.1</v>
      </c>
      <c r="G397" s="40">
        <f>140709.4</f>
        <v>140709.4</v>
      </c>
      <c r="H397" s="41">
        <f>ROUND(F397*0.975,1)</f>
        <v>135354.5</v>
      </c>
      <c r="I397" s="41">
        <f>ROUND(G397*0.95,1)</f>
        <v>133673.9</v>
      </c>
    </row>
    <row r="398" spans="1:9" ht="18.350000000000001" x14ac:dyDescent="0.3">
      <c r="A398" s="32" t="s">
        <v>368</v>
      </c>
      <c r="B398" s="69">
        <v>11</v>
      </c>
      <c r="C398" s="68" t="s">
        <v>4</v>
      </c>
      <c r="D398" s="68" t="s">
        <v>369</v>
      </c>
      <c r="E398" s="69"/>
      <c r="F398" s="40">
        <f>F399</f>
        <v>32744.5</v>
      </c>
      <c r="G398" s="40">
        <f>G399</f>
        <v>32774.300000000003</v>
      </c>
      <c r="H398" s="40">
        <f>H399</f>
        <v>31925.9</v>
      </c>
      <c r="I398" s="40">
        <f>I399</f>
        <v>31135.599999999999</v>
      </c>
    </row>
    <row r="399" spans="1:9" ht="31.25" x14ac:dyDescent="0.3">
      <c r="A399" s="8" t="s">
        <v>37</v>
      </c>
      <c r="B399" s="69">
        <v>11</v>
      </c>
      <c r="C399" s="68" t="s">
        <v>4</v>
      </c>
      <c r="D399" s="68" t="s">
        <v>369</v>
      </c>
      <c r="E399" s="69">
        <v>600</v>
      </c>
      <c r="F399" s="40">
        <v>32744.5</v>
      </c>
      <c r="G399" s="40">
        <v>32774.300000000003</v>
      </c>
      <c r="H399" s="41">
        <f>ROUND(F399*0.975,1)</f>
        <v>31925.9</v>
      </c>
      <c r="I399" s="41">
        <f>ROUND(G399*0.95,1)</f>
        <v>31135.599999999999</v>
      </c>
    </row>
    <row r="400" spans="1:9" ht="18.350000000000001" x14ac:dyDescent="0.3">
      <c r="A400" s="7" t="s">
        <v>26</v>
      </c>
      <c r="B400" s="58">
        <v>11</v>
      </c>
      <c r="C400" s="58" t="s">
        <v>5</v>
      </c>
      <c r="D400" s="58"/>
      <c r="E400" s="59"/>
      <c r="F400" s="43">
        <f t="shared" ref="F400:I404" si="47">F401</f>
        <v>2700</v>
      </c>
      <c r="G400" s="43">
        <f t="shared" si="47"/>
        <v>2700</v>
      </c>
      <c r="H400" s="43">
        <f t="shared" si="47"/>
        <v>2632.5</v>
      </c>
      <c r="I400" s="43">
        <f t="shared" si="47"/>
        <v>2565</v>
      </c>
    </row>
    <row r="401" spans="1:9" ht="46.9" x14ac:dyDescent="0.3">
      <c r="A401" s="7" t="s">
        <v>395</v>
      </c>
      <c r="B401" s="58">
        <v>11</v>
      </c>
      <c r="C401" s="58" t="s">
        <v>5</v>
      </c>
      <c r="D401" s="60" t="s">
        <v>359</v>
      </c>
      <c r="E401" s="59"/>
      <c r="F401" s="43">
        <f t="shared" si="47"/>
        <v>2700</v>
      </c>
      <c r="G401" s="43">
        <f t="shared" si="47"/>
        <v>2700</v>
      </c>
      <c r="H401" s="43">
        <f t="shared" si="47"/>
        <v>2632.5</v>
      </c>
      <c r="I401" s="43">
        <f t="shared" si="47"/>
        <v>2565</v>
      </c>
    </row>
    <row r="402" spans="1:9" ht="31.25" x14ac:dyDescent="0.3">
      <c r="A402" s="7" t="s">
        <v>360</v>
      </c>
      <c r="B402" s="58">
        <v>11</v>
      </c>
      <c r="C402" s="58" t="s">
        <v>5</v>
      </c>
      <c r="D402" s="58" t="s">
        <v>361</v>
      </c>
      <c r="E402" s="59"/>
      <c r="F402" s="43">
        <f t="shared" si="47"/>
        <v>2700</v>
      </c>
      <c r="G402" s="43">
        <f t="shared" si="47"/>
        <v>2700</v>
      </c>
      <c r="H402" s="43">
        <f t="shared" si="47"/>
        <v>2632.5</v>
      </c>
      <c r="I402" s="43">
        <f t="shared" si="47"/>
        <v>2565</v>
      </c>
    </row>
    <row r="403" spans="1:9" ht="31.95" x14ac:dyDescent="0.3">
      <c r="A403" s="28" t="s">
        <v>348</v>
      </c>
      <c r="B403" s="58">
        <v>11</v>
      </c>
      <c r="C403" s="58" t="s">
        <v>5</v>
      </c>
      <c r="D403" s="58" t="s">
        <v>362</v>
      </c>
      <c r="E403" s="59"/>
      <c r="F403" s="43">
        <f t="shared" si="47"/>
        <v>2700</v>
      </c>
      <c r="G403" s="43">
        <f t="shared" si="47"/>
        <v>2700</v>
      </c>
      <c r="H403" s="43">
        <f t="shared" si="47"/>
        <v>2632.5</v>
      </c>
      <c r="I403" s="43">
        <f t="shared" si="47"/>
        <v>2565</v>
      </c>
    </row>
    <row r="404" spans="1:9" ht="31.95" x14ac:dyDescent="0.3">
      <c r="A404" s="28" t="s">
        <v>349</v>
      </c>
      <c r="B404" s="58">
        <v>11</v>
      </c>
      <c r="C404" s="58" t="s">
        <v>5</v>
      </c>
      <c r="D404" s="60" t="s">
        <v>363</v>
      </c>
      <c r="E404" s="58"/>
      <c r="F404" s="40">
        <f t="shared" si="47"/>
        <v>2700</v>
      </c>
      <c r="G404" s="40">
        <f t="shared" si="47"/>
        <v>2700</v>
      </c>
      <c r="H404" s="40">
        <f t="shared" si="47"/>
        <v>2632.5</v>
      </c>
      <c r="I404" s="40">
        <f t="shared" si="47"/>
        <v>2565</v>
      </c>
    </row>
    <row r="405" spans="1:9" ht="31.25" x14ac:dyDescent="0.3">
      <c r="A405" s="8" t="s">
        <v>86</v>
      </c>
      <c r="B405" s="58">
        <v>11</v>
      </c>
      <c r="C405" s="58" t="s">
        <v>5</v>
      </c>
      <c r="D405" s="60" t="s">
        <v>363</v>
      </c>
      <c r="E405" s="58">
        <v>200</v>
      </c>
      <c r="F405" s="40">
        <v>2700</v>
      </c>
      <c r="G405" s="40">
        <v>2700</v>
      </c>
      <c r="H405" s="41">
        <f>ROUND(F405*0.975,1)</f>
        <v>2632.5</v>
      </c>
      <c r="I405" s="41">
        <f>ROUND(G405*0.95,1)</f>
        <v>2565</v>
      </c>
    </row>
    <row r="406" spans="1:9" ht="18.350000000000001" x14ac:dyDescent="0.3">
      <c r="A406" s="30" t="s">
        <v>157</v>
      </c>
      <c r="B406" s="72">
        <v>12</v>
      </c>
      <c r="C406" s="72"/>
      <c r="D406" s="73"/>
      <c r="E406" s="74"/>
      <c r="F406" s="39">
        <f t="shared" ref="F406:I409" si="48">F407</f>
        <v>1000</v>
      </c>
      <c r="G406" s="39">
        <f t="shared" si="48"/>
        <v>1000</v>
      </c>
      <c r="H406" s="39">
        <f t="shared" si="48"/>
        <v>975</v>
      </c>
      <c r="I406" s="39">
        <f t="shared" si="48"/>
        <v>950</v>
      </c>
    </row>
    <row r="407" spans="1:9" ht="18.350000000000001" x14ac:dyDescent="0.3">
      <c r="A407" s="7" t="s">
        <v>47</v>
      </c>
      <c r="B407" s="58">
        <v>12</v>
      </c>
      <c r="C407" s="60" t="s">
        <v>4</v>
      </c>
      <c r="D407" s="60"/>
      <c r="E407" s="71"/>
      <c r="F407" s="40">
        <f t="shared" si="48"/>
        <v>1000</v>
      </c>
      <c r="G407" s="40">
        <f t="shared" si="48"/>
        <v>1000</v>
      </c>
      <c r="H407" s="40">
        <f t="shared" si="48"/>
        <v>975</v>
      </c>
      <c r="I407" s="40">
        <f t="shared" si="48"/>
        <v>950</v>
      </c>
    </row>
    <row r="408" spans="1:9" ht="18.350000000000001" x14ac:dyDescent="0.3">
      <c r="A408" s="7" t="s">
        <v>72</v>
      </c>
      <c r="B408" s="58">
        <v>12</v>
      </c>
      <c r="C408" s="60" t="s">
        <v>4</v>
      </c>
      <c r="D408" s="60" t="s">
        <v>96</v>
      </c>
      <c r="E408" s="71"/>
      <c r="F408" s="40">
        <f t="shared" si="48"/>
        <v>1000</v>
      </c>
      <c r="G408" s="40">
        <f t="shared" si="48"/>
        <v>1000</v>
      </c>
      <c r="H408" s="40">
        <f t="shared" si="48"/>
        <v>975</v>
      </c>
      <c r="I408" s="40">
        <f t="shared" si="48"/>
        <v>950</v>
      </c>
    </row>
    <row r="409" spans="1:9" ht="18.350000000000001" x14ac:dyDescent="0.3">
      <c r="A409" s="7" t="s">
        <v>48</v>
      </c>
      <c r="B409" s="58">
        <v>12</v>
      </c>
      <c r="C409" s="60" t="s">
        <v>4</v>
      </c>
      <c r="D409" s="60" t="s">
        <v>345</v>
      </c>
      <c r="E409" s="58"/>
      <c r="F409" s="40">
        <f t="shared" si="48"/>
        <v>1000</v>
      </c>
      <c r="G409" s="40">
        <f t="shared" si="48"/>
        <v>1000</v>
      </c>
      <c r="H409" s="40">
        <f t="shared" si="48"/>
        <v>975</v>
      </c>
      <c r="I409" s="40">
        <f t="shared" si="48"/>
        <v>950</v>
      </c>
    </row>
    <row r="410" spans="1:9" ht="31.25" x14ac:dyDescent="0.3">
      <c r="A410" s="7" t="s">
        <v>37</v>
      </c>
      <c r="B410" s="58">
        <v>12</v>
      </c>
      <c r="C410" s="60" t="s">
        <v>4</v>
      </c>
      <c r="D410" s="60" t="s">
        <v>345</v>
      </c>
      <c r="E410" s="58">
        <v>600</v>
      </c>
      <c r="F410" s="40">
        <v>1000</v>
      </c>
      <c r="G410" s="40">
        <v>1000</v>
      </c>
      <c r="H410" s="41">
        <f>ROUND(F410*0.975,1)</f>
        <v>975</v>
      </c>
      <c r="I410" s="41">
        <f>ROUND(G410*0.95,1)</f>
        <v>950</v>
      </c>
    </row>
    <row r="411" spans="1:9" ht="46.9" x14ac:dyDescent="0.3">
      <c r="A411" s="30" t="s">
        <v>158</v>
      </c>
      <c r="B411" s="53">
        <v>14</v>
      </c>
      <c r="C411" s="53"/>
      <c r="D411" s="64"/>
      <c r="E411" s="65"/>
      <c r="F411" s="44">
        <f t="shared" ref="F411:I412" si="49">F412</f>
        <v>24765.300000000003</v>
      </c>
      <c r="G411" s="44">
        <f t="shared" si="49"/>
        <v>20109.2</v>
      </c>
      <c r="H411" s="44">
        <f t="shared" si="49"/>
        <v>24765.300000000003</v>
      </c>
      <c r="I411" s="44">
        <f t="shared" si="49"/>
        <v>20109.2</v>
      </c>
    </row>
    <row r="412" spans="1:9" ht="31.25" x14ac:dyDescent="0.3">
      <c r="A412" s="7" t="s">
        <v>44</v>
      </c>
      <c r="B412" s="58">
        <v>14</v>
      </c>
      <c r="C412" s="58" t="s">
        <v>4</v>
      </c>
      <c r="D412" s="60"/>
      <c r="E412" s="58"/>
      <c r="F412" s="40">
        <f t="shared" si="49"/>
        <v>24765.300000000003</v>
      </c>
      <c r="G412" s="40">
        <f t="shared" si="49"/>
        <v>20109.2</v>
      </c>
      <c r="H412" s="40">
        <f t="shared" si="49"/>
        <v>24765.300000000003</v>
      </c>
      <c r="I412" s="40">
        <f t="shared" si="49"/>
        <v>20109.2</v>
      </c>
    </row>
    <row r="413" spans="1:9" ht="18.350000000000001" x14ac:dyDescent="0.3">
      <c r="A413" s="7" t="s">
        <v>72</v>
      </c>
      <c r="B413" s="58">
        <v>14</v>
      </c>
      <c r="C413" s="58" t="s">
        <v>4</v>
      </c>
      <c r="D413" s="60" t="s">
        <v>96</v>
      </c>
      <c r="E413" s="58"/>
      <c r="F413" s="40">
        <f>F414+F416</f>
        <v>24765.300000000003</v>
      </c>
      <c r="G413" s="40">
        <f>G414+G416</f>
        <v>20109.2</v>
      </c>
      <c r="H413" s="40">
        <f>H414+H416</f>
        <v>24765.300000000003</v>
      </c>
      <c r="I413" s="40">
        <f>I414+I416</f>
        <v>20109.2</v>
      </c>
    </row>
    <row r="414" spans="1:9" ht="140.6" x14ac:dyDescent="0.3">
      <c r="A414" s="7" t="s">
        <v>399</v>
      </c>
      <c r="B414" s="58">
        <v>14</v>
      </c>
      <c r="C414" s="58" t="s">
        <v>4</v>
      </c>
      <c r="D414" s="69" t="s">
        <v>191</v>
      </c>
      <c r="E414" s="58"/>
      <c r="F414" s="40">
        <f>F415</f>
        <v>20248.7</v>
      </c>
      <c r="G414" s="40">
        <f>G415</f>
        <v>15422</v>
      </c>
      <c r="H414" s="40">
        <f>H415</f>
        <v>20248.7</v>
      </c>
      <c r="I414" s="40">
        <f>I415</f>
        <v>15422</v>
      </c>
    </row>
    <row r="415" spans="1:9" ht="18.350000000000001" x14ac:dyDescent="0.3">
      <c r="A415" s="7" t="s">
        <v>38</v>
      </c>
      <c r="B415" s="58">
        <v>14</v>
      </c>
      <c r="C415" s="58" t="s">
        <v>4</v>
      </c>
      <c r="D415" s="69" t="s">
        <v>191</v>
      </c>
      <c r="E415" s="60" t="s">
        <v>9</v>
      </c>
      <c r="F415" s="40">
        <f>20046.2+202.5</f>
        <v>20248.7</v>
      </c>
      <c r="G415" s="40">
        <f>15267.8+154.2</f>
        <v>15422</v>
      </c>
      <c r="H415" s="41">
        <f>F415</f>
        <v>20248.7</v>
      </c>
      <c r="I415" s="41">
        <f>G415</f>
        <v>15422</v>
      </c>
    </row>
    <row r="416" spans="1:9" ht="62.5" x14ac:dyDescent="0.3">
      <c r="A416" s="7" t="s">
        <v>400</v>
      </c>
      <c r="B416" s="58">
        <v>14</v>
      </c>
      <c r="C416" s="58" t="s">
        <v>4</v>
      </c>
      <c r="D416" s="60" t="s">
        <v>182</v>
      </c>
      <c r="E416" s="60"/>
      <c r="F416" s="40">
        <f>F417</f>
        <v>4516.6000000000004</v>
      </c>
      <c r="G416" s="40">
        <f>G417</f>
        <v>4687.2</v>
      </c>
      <c r="H416" s="40">
        <f>H417</f>
        <v>4516.6000000000004</v>
      </c>
      <c r="I416" s="40">
        <f>I417</f>
        <v>4687.2</v>
      </c>
    </row>
    <row r="417" spans="1:9" ht="18.350000000000001" x14ac:dyDescent="0.3">
      <c r="A417" s="7" t="s">
        <v>38</v>
      </c>
      <c r="B417" s="58">
        <v>14</v>
      </c>
      <c r="C417" s="58" t="s">
        <v>4</v>
      </c>
      <c r="D417" s="60" t="s">
        <v>182</v>
      </c>
      <c r="E417" s="60" t="s">
        <v>9</v>
      </c>
      <c r="F417" s="40">
        <f>4516.6</f>
        <v>4516.6000000000004</v>
      </c>
      <c r="G417" s="40">
        <v>4687.2</v>
      </c>
      <c r="H417" s="41">
        <f>F417</f>
        <v>4516.6000000000004</v>
      </c>
      <c r="I417" s="41">
        <f>G417</f>
        <v>4687.2</v>
      </c>
    </row>
    <row r="418" spans="1:9" ht="18" customHeight="1" x14ac:dyDescent="0.3">
      <c r="A418" s="12" t="s">
        <v>396</v>
      </c>
      <c r="B418" s="64"/>
      <c r="C418" s="64"/>
      <c r="D418" s="64"/>
      <c r="E418" s="65"/>
      <c r="F418" s="44">
        <f>F14+F111+F116+F129+F145+F168+F174+F305+F345+F352+F385+F406+F411</f>
        <v>2389375.9300000002</v>
      </c>
      <c r="G418" s="44">
        <f>G14+G111+G116+G129+G145+G168+G174+G305+G345+G352+G385+G406+G411</f>
        <v>2395840.5300000003</v>
      </c>
      <c r="H418" s="83">
        <f>H14+H111+H116+H129+H145+H168+H174+H305+H345+H352+H385+H406+H411</f>
        <v>2350350.4299999997</v>
      </c>
      <c r="I418" s="44">
        <f>I14+I111+I116+I129+I145+I168+I174+I305+I345+I352+I385+I406+I411</f>
        <v>2317227.8300000005</v>
      </c>
    </row>
    <row r="419" spans="1:9" ht="18.350000000000001" x14ac:dyDescent="0.3">
      <c r="B419" s="50"/>
      <c r="C419" s="50"/>
      <c r="D419" s="50"/>
      <c r="E419" s="76"/>
      <c r="F419" s="49"/>
      <c r="G419" s="49"/>
      <c r="H419" s="50"/>
      <c r="I419" s="51"/>
    </row>
    <row r="420" spans="1:9" ht="18.350000000000001" x14ac:dyDescent="0.3">
      <c r="B420" s="50"/>
      <c r="C420" s="50"/>
      <c r="D420" s="50"/>
      <c r="E420" s="76"/>
      <c r="F420" s="52"/>
      <c r="G420" s="52"/>
      <c r="H420" s="49"/>
      <c r="I420" s="49"/>
    </row>
    <row r="421" spans="1:9" ht="18.350000000000001" x14ac:dyDescent="0.3">
      <c r="F421" s="52"/>
      <c r="G421" s="52"/>
      <c r="H421" s="49"/>
      <c r="I421" s="49"/>
    </row>
    <row r="422" spans="1:9" ht="18.350000000000001" x14ac:dyDescent="0.3">
      <c r="F422" s="52"/>
      <c r="G422" s="52"/>
      <c r="H422" s="50"/>
      <c r="I422" s="50"/>
    </row>
    <row r="423" spans="1:9" ht="18.350000000000001" x14ac:dyDescent="0.3">
      <c r="F423" s="52"/>
      <c r="G423" s="52"/>
      <c r="H423" s="50"/>
      <c r="I423" s="50"/>
    </row>
    <row r="424" spans="1:9" x14ac:dyDescent="0.2">
      <c r="H424" s="20"/>
      <c r="I424" s="20"/>
    </row>
    <row r="427" spans="1:9" x14ac:dyDescent="0.2">
      <c r="H427" s="20"/>
      <c r="I427" s="20"/>
    </row>
  </sheetData>
  <mergeCells count="13">
    <mergeCell ref="A8:I8"/>
    <mergeCell ref="A9:I9"/>
    <mergeCell ref="A4:I4"/>
    <mergeCell ref="A5:I5"/>
    <mergeCell ref="A6:I6"/>
    <mergeCell ref="A7:I7"/>
    <mergeCell ref="H12:I12"/>
    <mergeCell ref="A12:A13"/>
    <mergeCell ref="B12:B13"/>
    <mergeCell ref="C12:C13"/>
    <mergeCell ref="D12:D13"/>
    <mergeCell ref="E12:E13"/>
    <mergeCell ref="F12:G12"/>
  </mergeCells>
  <pageMargins left="0.39370078740157483" right="0" top="0.39370078740157483" bottom="0" header="0.15748031496062992" footer="0.19685039370078741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 2023-2024 </vt:lpstr>
      <vt:lpstr>'Приложение 4 2023-2024 '!Заголовки_для_печати</vt:lpstr>
      <vt:lpstr>'Приложение 4 2023-2024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2021-11-09T07:08:59Z</cp:lastPrinted>
  <dcterms:created xsi:type="dcterms:W3CDTF">2011-03-31T11:44:44Z</dcterms:created>
  <dcterms:modified xsi:type="dcterms:W3CDTF">2021-11-18T13:53:17Z</dcterms:modified>
</cp:coreProperties>
</file>