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15" windowWidth="14280" windowHeight="11640" tabRatio="616" activeTab="0"/>
  </bookViews>
  <sheets>
    <sheet name="Приложение 7 2015" sheetId="1" r:id="rId1"/>
    <sheet name="Приложение 7 2016-2017 с услон" sheetId="2" r:id="rId2"/>
  </sheets>
  <definedNames>
    <definedName name="_xlnm.Print_Titles" localSheetId="0">'Приложение 7 2015'!$12:$14</definedName>
    <definedName name="_xlnm.Print_Titles" localSheetId="1">'Приложение 7 2016-2017 с услон'!$13:$15</definedName>
    <definedName name="_xlnm.Print_Area" localSheetId="0">'Приложение 7 2015'!$A$1:$F$249</definedName>
    <definedName name="_xlnm.Print_Area" localSheetId="1">'Приложение 7 2016-2017 с услон'!$A$1:$G$222</definedName>
  </definedNames>
  <calcPr fullCalcOnLoad="1"/>
</workbook>
</file>

<file path=xl/sharedStrings.xml><?xml version="1.0" encoding="utf-8"?>
<sst xmlns="http://schemas.openxmlformats.org/spreadsheetml/2006/main" count="1166" uniqueCount="221">
  <si>
    <t>муниципального района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</si>
  <si>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</si>
  <si>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</si>
  <si>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</si>
  <si>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</si>
  <si>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</si>
  <si>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</si>
  <si>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</si>
  <si>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</si>
  <si>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</si>
  <si>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</si>
  <si>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</si>
  <si>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</si>
  <si>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</si>
  <si>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</si>
  <si>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03</t>
  </si>
  <si>
    <t>Центральный аппарат</t>
  </si>
  <si>
    <t>0020400</t>
  </si>
  <si>
    <t>Реализация государственных полномочий по образованию и организации деятельности административных комиссий</t>
  </si>
  <si>
    <t>500</t>
  </si>
  <si>
    <t>Реализация государственных полномочий в области образования</t>
  </si>
  <si>
    <t>Реализация государственных полномочий в области государственной молодежной политики</t>
  </si>
  <si>
    <t>Резервные фонды</t>
  </si>
  <si>
    <t>0700000</t>
  </si>
  <si>
    <t>0700500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</si>
  <si>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</si>
  <si>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</si>
  <si>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Выполнение функций бюджетными учреждениями</t>
  </si>
  <si>
    <t>Учреждения культуры и мероприятия в сфере культуры и кинематографии</t>
  </si>
  <si>
    <t>Реализация государственных полномочий по организации и осуществлению деятельности по опеке и попечительству</t>
  </si>
  <si>
    <t>5210213</t>
  </si>
  <si>
    <t>Реализация государственных полномочий в области архивного дела</t>
  </si>
  <si>
    <t>05</t>
  </si>
  <si>
    <t>08</t>
  </si>
  <si>
    <t>Жилищно-коммунальное хозяйство</t>
  </si>
  <si>
    <t>09</t>
  </si>
  <si>
    <t>07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</si>
  <si>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</si>
  <si>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</si>
  <si>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</si>
  <si>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</si>
  <si>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Оказание других видов социальной помощи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</si>
  <si>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</si>
  <si>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</si>
  <si>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</si>
  <si>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</si>
  <si>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</si>
  <si>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Образование</t>
  </si>
  <si>
    <t>Пенсионное обеспечение</t>
  </si>
  <si>
    <t>Межбюджетные трансферты общего характера бюджетам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</si>
  <si>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</si>
  <si>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</si>
  <si>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Иные дотации</t>
  </si>
  <si>
    <t>Дотации</t>
  </si>
  <si>
    <t>Поддержка мер по обеспечению сбалансированности бюджетов</t>
  </si>
  <si>
    <t>Функционирования органов в сфере национальной безопасности и правоохранительной деятельности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</si>
  <si>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</si>
  <si>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</si>
  <si>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</si>
  <si>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Учреждение по внешкольной работе с детьми</t>
  </si>
  <si>
    <t>Молодежная политика и оздоровление детей</t>
  </si>
  <si>
    <t>Оздоровление детей</t>
  </si>
  <si>
    <t>Учреждения, обеспечивающие предоставление услуг в сфере образования</t>
  </si>
  <si>
    <t>5210210</t>
  </si>
  <si>
    <t>Социальная помощь</t>
  </si>
  <si>
    <t>Дестко-юношеские спортивные школы, специализированные детско-юношеские школы олимпийского резерва, школы высшего спортивного мастерства</t>
  </si>
  <si>
    <t>Всего расходов</t>
  </si>
  <si>
    <t xml:space="preserve">к решению Совета Елабужского </t>
  </si>
  <si>
    <t>Распределение</t>
  </si>
  <si>
    <t xml:space="preserve">бюджетных ассигнований Бюджета района </t>
  </si>
  <si>
    <t>Функционирование высшего должностного лица субъекта Российской Федерации и органа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</si>
  <si>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</si>
  <si>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</si>
  <si>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местных администраций</t>
  </si>
  <si>
    <t xml:space="preserve">Другие общегосударственные вопросы </t>
  </si>
  <si>
    <t xml:space="preserve">Национальная безопасность и правоохранительная деятельность </t>
  </si>
  <si>
    <t xml:space="preserve">Дошкольное образование </t>
  </si>
  <si>
    <t>Организационно-воспитательная работа с молодежью</t>
  </si>
  <si>
    <t>Мероприятия по проведению оздоровительной кампании детей</t>
  </si>
  <si>
    <t xml:space="preserve">  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</si>
  <si>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</si>
  <si>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</t>
  </si>
  <si>
    <t>Кинематография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</si>
  <si>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</si>
  <si>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</si>
  <si>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Физкультурно-оздоровительная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</si>
  <si>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</si>
  <si>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</si>
  <si>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</si>
  <si>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</si>
  <si>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</si>
  <si>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Таблица 1</t>
  </si>
  <si>
    <t>Уплата налога на имущество организаций и земельного налога</t>
  </si>
  <si>
    <t>0029500</t>
  </si>
  <si>
    <t>Программа природоохранных мероприятий</t>
  </si>
  <si>
    <t>Национальная экономика</t>
  </si>
  <si>
    <t>04</t>
  </si>
  <si>
    <t>Здравоохранение</t>
  </si>
  <si>
    <t>Культура</t>
  </si>
  <si>
    <t xml:space="preserve">Санитарно – эпидемическое благополучие 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</si>
  <si>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</si>
  <si>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Программа развития образования Елабужского муниципального района на 2012-2015 годы</t>
  </si>
  <si>
    <t>Программа развития образования Елабужского муниципального района на 2012-2015 годы (образовательные учреждения дополнительного образования детей туристко-краеведческой, эколого-биологической, военно-патриотической, социально-педагогической, технической и многопрофильные образовательные учреждения дополнительного образования детей)</t>
  </si>
  <si>
    <t>Программа развития культуры в Елабужском муниципальном районе на 2012-2015 годы (образовательные учреждения дополнительного образования детей художественно-эстетической направленности )</t>
  </si>
  <si>
    <t>Программа развития молодежной политики в Елабужском муниципальном районе на 2012-2015 годы (проведение мероприятий для детей и молодежи)</t>
  </si>
  <si>
    <t>Реализация государственных полномочий по осуществлению информационного обеспечения образовательных учреждений</t>
  </si>
  <si>
    <t>Программа развития культуры в Елабужском муниципальном районе на 2012-2015 годы (мероприятия в сфере культуры и кинематографии)</t>
  </si>
  <si>
    <t>Программа развития культуры в Елабужском муниципальном районе на 2012-2015 годы</t>
  </si>
  <si>
    <t>Библиотеки</t>
  </si>
  <si>
    <t>4420000</t>
  </si>
  <si>
    <t>4429900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</si>
  <si>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</si>
  <si>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</si>
  <si>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</si>
  <si>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10</t>
  </si>
  <si>
    <t>Средства местного бюджета на комплектование книжных фондов, библиотек МО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</si>
  <si>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</si>
  <si>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</si>
  <si>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</si>
  <si>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06</t>
  </si>
  <si>
    <t>Иные бюджетные ассигнования</t>
  </si>
  <si>
    <t>4409900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</si>
  <si>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</si>
  <si>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</si>
  <si>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</si>
  <si>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Программа дорожных работ</t>
  </si>
  <si>
    <t>Капитальные вложения в объекты недвижимого имущества государственной (муниципальной) собственности</t>
  </si>
  <si>
    <t>400</t>
  </si>
  <si>
    <t>Состояние окружающей среды и природопользования</t>
  </si>
  <si>
    <t>Программа развития образования Елабужского муниципального района на 2012-2015 годы (дошкольные образовательные учреждения)</t>
  </si>
  <si>
    <t>4219900</t>
  </si>
  <si>
    <t>4329900</t>
  </si>
  <si>
    <t>4359900</t>
  </si>
  <si>
    <t>Социальное обеспечение и иные выплаты населению</t>
  </si>
  <si>
    <t>300</t>
  </si>
  <si>
    <t>5058500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</si>
  <si>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</si>
  <si>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</si>
  <si>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5201010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</si>
  <si>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</si>
  <si>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Таблица 2</t>
  </si>
  <si>
    <t>сумма 2015 год</t>
  </si>
  <si>
    <t>сумма 2016 год</t>
  </si>
  <si>
    <t>Условно утвержденные расходы</t>
  </si>
  <si>
    <t xml:space="preserve">по разделам и подразделам, целевым статьям, группам видов </t>
  </si>
  <si>
    <t>Комплексная антикоррупционная программа Елабужского муниципального района на 2012-2014 годы</t>
  </si>
  <si>
    <t>7950800</t>
  </si>
  <si>
    <t>Целевая программа "Комплексная программа профилактики правонарушений ЕМР на 2012-2014 годы"</t>
  </si>
  <si>
    <t>5178004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</si>
  <si>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</si>
  <si>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</si>
  <si>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</si>
  <si>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0469601</t>
  </si>
  <si>
    <t>Обеспечение мероприятий по капитальному ремонту многоквартирных домов за счет средств бюджетов</t>
  </si>
  <si>
    <t>Поддержка жилищного хозяйства</t>
  </si>
  <si>
    <t xml:space="preserve">Мероприятия в области жилищного хозяйства </t>
  </si>
  <si>
    <t>3500000</t>
  </si>
  <si>
    <t>3500300</t>
  </si>
  <si>
    <t>расходов классификации расходов бюджетов на 2015 год</t>
  </si>
  <si>
    <t>расходов классификации расходов бюджетов на плановый период  2016-2017 годы</t>
  </si>
  <si>
    <t>сумма 2017 год</t>
  </si>
  <si>
    <t>Целевая программа "Комплексная программа профилактики правонарушений ЕМР на 2015-2017 годы"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</si>
  <si>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</si>
  <si>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</si>
  <si>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</si>
  <si>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</si>
  <si>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</si>
  <si>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</si>
  <si>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</si>
  <si>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0029900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</si>
  <si>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</si>
  <si>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</si>
  <si>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Комплексная антикоррупционная программа Елабужского муниципального района </t>
  </si>
  <si>
    <t xml:space="preserve">Целевая программа "Комплексная программа профилактики правонарушений ЕМР </t>
  </si>
  <si>
    <t>Программа развития образования Елабужского муниципального района (дошкольные образовательные учреждения)</t>
  </si>
  <si>
    <t xml:space="preserve">Программа развития образования Елабужского муниципального района </t>
  </si>
  <si>
    <t>Программа развития молодежной политики в Елабужском муниципальном районе  (проведение мероприятий для детей и молодежи)</t>
  </si>
  <si>
    <t>Целевая программа "Комплексная программа профилактики правонарушений ЕМР"</t>
  </si>
  <si>
    <t>Программа развития культуры в Елабужском муниципальном районе (мероприятия в сфере культуры и кинематографии)</t>
  </si>
  <si>
    <t xml:space="preserve">Программа развития культуры в Елабужском муниципальном районе </t>
  </si>
  <si>
    <t>Программа развития культуры в Елабужском муниципальном районе</t>
  </si>
  <si>
    <t>Приложение №7</t>
  </si>
  <si>
    <t>Целевая программа профилактики терроризма и экстремизма, обеспечение безопасности населения на территории Елабужского муниципального района на 2012-2015 гг.</t>
  </si>
  <si>
    <t>9902527</t>
  </si>
  <si>
    <t>9902535</t>
  </si>
  <si>
    <t>9905930</t>
  </si>
  <si>
    <t xml:space="preserve"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</si>
  <si>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0212537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</si>
  <si>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</si>
  <si>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0222528</t>
  </si>
  <si>
    <t>Комплектование книжных фондов библиотек муниципальных образований за счет средств бюджета Республики Татарстан</t>
  </si>
  <si>
    <t>0834401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</si>
  <si>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</si>
  <si>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0110211</t>
  </si>
  <si>
    <t>9905118</t>
  </si>
  <si>
    <t>9905120</t>
  </si>
  <si>
    <t>Выполнение других обязательств государства</t>
  </si>
  <si>
    <t>0920300</t>
  </si>
  <si>
    <t>0352533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</si>
  <si>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</si>
  <si>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</si>
  <si>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 xml:space="preserve">Мероприятия в области сельскохозяйственного производства </t>
  </si>
  <si>
    <t>Другие вопросы в области национальной экономики</t>
  </si>
  <si>
    <t>Реализация государственных функций, связанных с общегосударственным управлением</t>
  </si>
  <si>
    <t>12</t>
  </si>
  <si>
    <t>0929900</t>
  </si>
  <si>
    <t>0920000</t>
  </si>
  <si>
    <t>Коммунальное хозяйство</t>
  </si>
  <si>
    <t>Мероприятия в области коммунального хозяйства</t>
  </si>
  <si>
    <t>Программа развития образования Елабужского муниципального района (общеобразовательные учреждения)</t>
  </si>
  <si>
    <t>Программа развития образования Елабужского муниципального района на 2012-2015 годы (многопрофильные учреждения дополнительного образования детей)</t>
  </si>
  <si>
    <t>Дестко-юношеские спортивные школы</t>
  </si>
  <si>
    <t>Программа развития культуры в Елабужском муниципальном районе (учреждения дополнительного образования детей художественно-эстетической направленности )</t>
  </si>
  <si>
    <t>Мероприятия в области образования, направленные на поддержку молодых специалистов (учреждения дополнительного образования подведомственные Министерству по делам молодежи и спорту РТ)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</si>
  <si>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</si>
  <si>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0222530</t>
  </si>
  <si>
    <t>Программа развития культуры в Елабужском муниципальном районе (мероприятия в области культуры)</t>
  </si>
  <si>
    <t>0801099</t>
  </si>
  <si>
    <t>200</t>
  </si>
  <si>
    <t>(в части вносимых изменений)</t>
  </si>
  <si>
    <t>от "19" февраля  2015 г. №483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</si>
</sst>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0"/>
    <numFmt numFmtId="175" formatCode="0.0"/>
    <numFmt numFmtId="176" formatCode="000.0"/>
    <numFmt numFmtId="177" formatCode="000.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3" fontId="1" fillId="0" borderId="13" xfId="0" applyNumberFormat="1" applyFont="1" applyBorder="1" applyAlignment="1">
      <alignment horizontal="center" wrapText="1"/>
    </xf>
    <xf numFmtId="172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4" fontId="1" fillId="0" borderId="11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174" fontId="6" fillId="33" borderId="11" xfId="0" applyNumberFormat="1" applyFont="1" applyFill="1" applyBorder="1" applyAlignment="1">
      <alignment horizontal="center" wrapText="1"/>
    </xf>
    <xf numFmtId="17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3" fontId="7" fillId="33" borderId="13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173" fontId="6" fillId="33" borderId="13" xfId="0" applyNumberFormat="1" applyFont="1" applyFill="1" applyBorder="1" applyAlignment="1">
      <alignment horizontal="center" wrapText="1"/>
    </xf>
    <xf numFmtId="172" fontId="6" fillId="33" borderId="12" xfId="0" applyNumberFormat="1" applyFont="1" applyFill="1" applyBorder="1" applyAlignment="1">
      <alignment horizontal="center" wrapText="1"/>
    </xf>
    <xf numFmtId="17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173" fontId="6" fillId="33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174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73" fontId="3" fillId="33" borderId="13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wrapText="1"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72" fontId="6" fillId="33" borderId="18" xfId="0" applyNumberFormat="1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9" fontId="0" fillId="0" borderId="0" xfId="55" applyFont="1" applyFill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0" fontId="6" fillId="0" borderId="11" xfId="0" applyNumberFormat="1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3" xfId="0" applyNumberFormat="1" applyFont="1" applyFill="1" applyBorder="1" applyAlignment="1">
      <alignment horizontal="center" wrapText="1"/>
    </xf>
    <xf numFmtId="172" fontId="6" fillId="33" borderId="19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 wrapText="1"/>
    </xf>
    <xf numFmtId="172" fontId="3" fillId="33" borderId="13" xfId="0" applyNumberFormat="1" applyFont="1" applyFill="1" applyBorder="1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9" fontId="8" fillId="0" borderId="0" xfId="55" applyFont="1" applyFill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75" fontId="8" fillId="0" borderId="0" xfId="0" applyNumberFormat="1" applyFont="1" applyFill="1" applyAlignment="1">
      <alignment/>
    </xf>
    <xf numFmtId="17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8" fillId="34" borderId="0" xfId="0" applyFont="1" applyFill="1" applyAlignment="1">
      <alignment/>
    </xf>
    <xf numFmtId="0" fontId="1" fillId="35" borderId="11" xfId="0" applyFont="1" applyFill="1" applyBorder="1" applyAlignment="1">
      <alignment horizontal="center" wrapText="1"/>
    </xf>
    <xf numFmtId="173" fontId="1" fillId="35" borderId="13" xfId="0" applyNumberFormat="1" applyFont="1" applyFill="1" applyBorder="1" applyAlignment="1">
      <alignment horizontal="center" wrapText="1"/>
    </xf>
    <xf numFmtId="4" fontId="6" fillId="33" borderId="18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2" fontId="1" fillId="0" borderId="24" xfId="0" applyNumberFormat="1" applyFont="1" applyFill="1" applyBorder="1" applyAlignment="1">
      <alignment horizontal="center" vertical="center" wrapText="1"/>
    </xf>
    <xf numFmtId="172" fontId="1" fillId="0" borderId="25" xfId="0" applyNumberFormat="1" applyFont="1" applyFill="1" applyBorder="1" applyAlignment="1">
      <alignment horizontal="center" vertical="center" wrapText="1"/>
    </xf>
    <xf numFmtId="172" fontId="1" fillId="0" borderId="26" xfId="0" applyNumberFormat="1" applyFont="1" applyFill="1" applyBorder="1" applyAlignment="1">
      <alignment horizontal="center" vertical="center" wrapText="1"/>
    </xf>
    <xf numFmtId="173" fontId="1" fillId="0" borderId="19" xfId="0" applyNumberFormat="1" applyFont="1" applyBorder="1" applyAlignment="1">
      <alignment horizontal="center" vertical="center"/>
    </xf>
    <xf numFmtId="173" fontId="1" fillId="0" borderId="27" xfId="0" applyNumberFormat="1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72" fontId="1" fillId="0" borderId="32" xfId="0" applyNumberFormat="1" applyFont="1" applyFill="1" applyBorder="1" applyAlignment="1">
      <alignment horizontal="center" vertical="center" wrapText="1"/>
    </xf>
    <xf numFmtId="172" fontId="1" fillId="0" borderId="27" xfId="0" applyNumberFormat="1" applyFont="1" applyFill="1" applyBorder="1" applyAlignment="1">
      <alignment horizontal="center" vertical="center" wrapText="1"/>
    </xf>
    <xf numFmtId="172" fontId="1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0.75390625" style="11" customWidth="1"/>
    <col min="2" max="2" width="6.125" style="0" customWidth="1"/>
    <col min="3" max="3" width="6.375" style="0" customWidth="1"/>
    <col min="4" max="4" width="10.00390625" style="0" customWidth="1"/>
    <col min="5" max="5" width="5.25390625" style="12" customWidth="1"/>
    <col min="6" max="6" width="14.375" style="75" customWidth="1"/>
    <col min="7" max="7" width="12.375" style="58" customWidth="1"/>
    <col min="8" max="8" width="10.75390625" style="1" bestFit="1" customWidth="1"/>
    <col min="9" max="12" width="9.125" style="1" customWidth="1"/>
  </cols>
  <sheetData>
    <row r="1" spans="3:6" ht="15.75">
      <c r="C1" s="28"/>
      <c r="D1" s="28" t="s">
        <v>181</v>
      </c>
      <c r="E1" s="28"/>
      <c r="F1" s="71"/>
    </row>
    <row r="2" spans="3:6" ht="15.75">
      <c r="C2" s="29"/>
      <c r="D2" s="29" t="s">
        <v>67</v>
      </c>
      <c r="E2" s="29"/>
      <c r="F2" s="71"/>
    </row>
    <row r="3" spans="3:6" ht="15.75">
      <c r="C3" s="29"/>
      <c r="D3" s="29" t="s">
        <v>0</v>
      </c>
      <c r="E3" s="29"/>
      <c r="F3" s="71"/>
    </row>
    <row r="4" spans="3:6" ht="15.75">
      <c r="C4" s="29"/>
      <c r="D4" s="29" t="s">
        <v>220</v>
      </c>
      <c r="E4" s="29"/>
      <c r="F4" s="71"/>
    </row>
    <row r="6" ht="15.75">
      <c r="F6" s="72" t="s">
        <v>91</v>
      </c>
    </row>
    <row r="7" spans="1:6" ht="18" customHeight="1">
      <c r="A7" s="116" t="s">
        <v>68</v>
      </c>
      <c r="B7" s="116"/>
      <c r="C7" s="116"/>
      <c r="D7" s="116"/>
      <c r="E7" s="116"/>
      <c r="F7" s="116"/>
    </row>
    <row r="8" spans="1:6" ht="18" customHeight="1">
      <c r="A8" s="116" t="s">
        <v>69</v>
      </c>
      <c r="B8" s="116"/>
      <c r="C8" s="116"/>
      <c r="D8" s="116"/>
      <c r="E8" s="116"/>
      <c r="F8" s="116"/>
    </row>
    <row r="9" spans="1:6" ht="18" customHeight="1">
      <c r="A9" s="116" t="s">
        <v>144</v>
      </c>
      <c r="B9" s="116"/>
      <c r="C9" s="116"/>
      <c r="D9" s="116"/>
      <c r="E9" s="116"/>
      <c r="F9" s="116"/>
    </row>
    <row r="10" spans="1:6" ht="16.5" customHeight="1">
      <c r="A10" s="116" t="s">
        <v>158</v>
      </c>
      <c r="B10" s="116"/>
      <c r="C10" s="116"/>
      <c r="D10" s="116"/>
      <c r="E10" s="116"/>
      <c r="F10" s="116"/>
    </row>
    <row r="11" spans="1:6" ht="15" customHeight="1" thickBot="1">
      <c r="A11" s="129"/>
      <c r="B11" s="129"/>
      <c r="C11" s="129"/>
      <c r="D11" s="129"/>
      <c r="E11" s="129"/>
      <c r="F11" s="73" t="s">
        <v>1</v>
      </c>
    </row>
    <row r="12" spans="1:6" ht="15.75" customHeight="1">
      <c r="A12" s="126" t="s">
        <v>2</v>
      </c>
      <c r="B12" s="117" t="s">
        <v>3</v>
      </c>
      <c r="C12" s="117" t="s">
        <v>4</v>
      </c>
      <c r="D12" s="117" t="s">
        <v>5</v>
      </c>
      <c r="E12" s="123" t="s">
        <v>6</v>
      </c>
      <c r="F12" s="120" t="s">
        <v>141</v>
      </c>
    </row>
    <row r="13" spans="1:6" ht="7.5" customHeight="1">
      <c r="A13" s="127"/>
      <c r="B13" s="118"/>
      <c r="C13" s="118"/>
      <c r="D13" s="118"/>
      <c r="E13" s="124"/>
      <c r="F13" s="121"/>
    </row>
    <row r="14" spans="1:6" ht="24.75" customHeight="1" thickBot="1">
      <c r="A14" s="128"/>
      <c r="B14" s="119"/>
      <c r="C14" s="119"/>
      <c r="D14" s="119"/>
      <c r="E14" s="125"/>
      <c r="F14" s="122"/>
    </row>
    <row r="15" spans="1:8" ht="18.75" customHeight="1">
      <c r="A15" s="33" t="s">
        <v>7</v>
      </c>
      <c r="B15" s="34">
        <v>1</v>
      </c>
      <c r="C15" s="35"/>
      <c r="D15" s="36"/>
      <c r="E15" s="37"/>
      <c r="F15" s="57">
        <f>F16+F20+F28+F42+F51+F55+F48</f>
        <v>74089.56999999999</v>
      </c>
      <c r="G15" s="58">
        <v>73259.1</v>
      </c>
      <c r="H15" s="69">
        <f>G15-F15</f>
        <v>-830.4699999999866</v>
      </c>
    </row>
    <row r="16" spans="1:6" ht="31.5">
      <c r="A16" s="13" t="s">
        <v>70</v>
      </c>
      <c r="B16" s="14">
        <v>1</v>
      </c>
      <c r="C16" s="14">
        <v>2</v>
      </c>
      <c r="D16" s="15"/>
      <c r="E16" s="16"/>
      <c r="F16" s="6">
        <f>F17</f>
        <v>1764</v>
      </c>
    </row>
    <row r="17" spans="1:6" ht="31.5">
      <c r="A17" s="13" t="s">
        <v>10</v>
      </c>
      <c r="B17" s="14">
        <v>1</v>
      </c>
      <c r="C17" s="14">
        <v>2</v>
      </c>
      <c r="D17" s="18" t="s">
        <v>11</v>
      </c>
      <c r="E17" s="16"/>
      <c r="F17" s="6">
        <f>F18</f>
        <v>1764</v>
      </c>
    </row>
    <row r="18" spans="1:6" ht="15.75">
      <c r="A18" s="13" t="s">
        <v>12</v>
      </c>
      <c r="B18" s="14">
        <v>1</v>
      </c>
      <c r="C18" s="14">
        <v>2</v>
      </c>
      <c r="D18" s="18" t="s">
        <v>13</v>
      </c>
      <c r="E18" s="16"/>
      <c r="F18" s="6">
        <f>F19</f>
        <v>1764</v>
      </c>
    </row>
    <row r="19" spans="1:6" ht="62.25" customHeight="1">
      <c r="A19" s="3" t="s">
        <v>117</v>
      </c>
      <c r="B19" s="4" t="s">
        <v>8</v>
      </c>
      <c r="C19" s="4" t="s">
        <v>9</v>
      </c>
      <c r="D19" s="5" t="s">
        <v>13</v>
      </c>
      <c r="E19" s="4">
        <v>100</v>
      </c>
      <c r="F19" s="6">
        <f>1347.9+407.1+9</f>
        <v>1764</v>
      </c>
    </row>
    <row r="20" spans="1:6" ht="47.25">
      <c r="A20" s="13" t="s">
        <v>43</v>
      </c>
      <c r="B20" s="14">
        <v>1</v>
      </c>
      <c r="C20" s="14">
        <v>3</v>
      </c>
      <c r="D20" s="18"/>
      <c r="E20" s="16"/>
      <c r="F20" s="6">
        <f>F21+F26</f>
        <v>15026.5</v>
      </c>
    </row>
    <row r="21" spans="1:6" ht="31.5">
      <c r="A21" s="13" t="s">
        <v>10</v>
      </c>
      <c r="B21" s="14">
        <v>1</v>
      </c>
      <c r="C21" s="14">
        <v>3</v>
      </c>
      <c r="D21" s="18" t="s">
        <v>11</v>
      </c>
      <c r="E21" s="16"/>
      <c r="F21" s="6">
        <f>F22</f>
        <v>14976.5</v>
      </c>
    </row>
    <row r="22" spans="1:6" ht="15.75">
      <c r="A22" s="13" t="s">
        <v>16</v>
      </c>
      <c r="B22" s="14">
        <v>1</v>
      </c>
      <c r="C22" s="14">
        <v>3</v>
      </c>
      <c r="D22" s="18" t="s">
        <v>17</v>
      </c>
      <c r="E22" s="16"/>
      <c r="F22" s="6">
        <f>F24+F23+F25</f>
        <v>14976.5</v>
      </c>
    </row>
    <row r="23" spans="1:6" ht="62.25" customHeight="1">
      <c r="A23" s="3" t="s">
        <v>117</v>
      </c>
      <c r="B23" s="4" t="s">
        <v>8</v>
      </c>
      <c r="C23" s="4" t="s">
        <v>15</v>
      </c>
      <c r="D23" s="5" t="s">
        <v>17</v>
      </c>
      <c r="E23" s="4">
        <v>100</v>
      </c>
      <c r="F23" s="6">
        <f>6894.3-1347.9+2082-407.1+28.6-9+5.5</f>
        <v>7246.4</v>
      </c>
    </row>
    <row r="24" spans="1:6" ht="31.5">
      <c r="A24" s="3" t="s">
        <v>118</v>
      </c>
      <c r="B24" s="4" t="s">
        <v>8</v>
      </c>
      <c r="C24" s="4" t="s">
        <v>15</v>
      </c>
      <c r="D24" s="5" t="s">
        <v>17</v>
      </c>
      <c r="E24" s="4">
        <v>200</v>
      </c>
      <c r="F24" s="6">
        <f>7768.1-50-5.5-136.7+16</f>
        <v>7591.900000000001</v>
      </c>
    </row>
    <row r="25" spans="1:6" ht="15.75">
      <c r="A25" s="3" t="s">
        <v>120</v>
      </c>
      <c r="B25" s="4" t="s">
        <v>8</v>
      </c>
      <c r="C25" s="4" t="s">
        <v>15</v>
      </c>
      <c r="D25" s="5" t="s">
        <v>17</v>
      </c>
      <c r="E25" s="4">
        <v>800</v>
      </c>
      <c r="F25" s="6">
        <f>1.5+136.7</f>
        <v>138.2</v>
      </c>
    </row>
    <row r="26" spans="1:6" ht="31.5">
      <c r="A26" s="3" t="s">
        <v>172</v>
      </c>
      <c r="B26" s="4" t="s">
        <v>8</v>
      </c>
      <c r="C26" s="4" t="s">
        <v>15</v>
      </c>
      <c r="D26" s="5" t="s">
        <v>146</v>
      </c>
      <c r="E26" s="4"/>
      <c r="F26" s="6">
        <f>F27</f>
        <v>50</v>
      </c>
    </row>
    <row r="27" spans="1:6" ht="31.5">
      <c r="A27" s="3" t="s">
        <v>118</v>
      </c>
      <c r="B27" s="4" t="s">
        <v>8</v>
      </c>
      <c r="C27" s="4" t="s">
        <v>15</v>
      </c>
      <c r="D27" s="5" t="s">
        <v>146</v>
      </c>
      <c r="E27" s="4">
        <v>200</v>
      </c>
      <c r="F27" s="6">
        <v>50</v>
      </c>
    </row>
    <row r="28" spans="1:6" ht="47.25" customHeight="1">
      <c r="A28" s="13" t="s">
        <v>71</v>
      </c>
      <c r="B28" s="14">
        <v>1</v>
      </c>
      <c r="C28" s="14">
        <v>4</v>
      </c>
      <c r="D28" s="18"/>
      <c r="E28" s="16"/>
      <c r="F28" s="6">
        <f>F29+F36+F39+F34</f>
        <v>22268.199999999997</v>
      </c>
    </row>
    <row r="29" spans="1:6" ht="31.5">
      <c r="A29" s="13" t="s">
        <v>10</v>
      </c>
      <c r="B29" s="14">
        <v>1</v>
      </c>
      <c r="C29" s="14">
        <v>4</v>
      </c>
      <c r="D29" s="18" t="s">
        <v>11</v>
      </c>
      <c r="E29" s="16"/>
      <c r="F29" s="6">
        <f>F30</f>
        <v>21226.5</v>
      </c>
    </row>
    <row r="30" spans="1:6" ht="15.75">
      <c r="A30" s="13" t="s">
        <v>16</v>
      </c>
      <c r="B30" s="14">
        <v>1</v>
      </c>
      <c r="C30" s="14">
        <v>4</v>
      </c>
      <c r="D30" s="18" t="s">
        <v>17</v>
      </c>
      <c r="E30" s="16"/>
      <c r="F30" s="6">
        <f>F32+F31+F33</f>
        <v>21226.5</v>
      </c>
    </row>
    <row r="31" spans="1:6" ht="61.5" customHeight="1">
      <c r="A31" s="3" t="s">
        <v>117</v>
      </c>
      <c r="B31" s="4" t="s">
        <v>8</v>
      </c>
      <c r="C31" s="14">
        <v>4</v>
      </c>
      <c r="D31" s="5" t="s">
        <v>17</v>
      </c>
      <c r="E31" s="4">
        <v>100</v>
      </c>
      <c r="F31" s="6">
        <f>14808+109.75</f>
        <v>14917.75</v>
      </c>
    </row>
    <row r="32" spans="1:6" ht="31.5">
      <c r="A32" s="3" t="s">
        <v>118</v>
      </c>
      <c r="B32" s="4" t="s">
        <v>8</v>
      </c>
      <c r="C32" s="14">
        <v>4</v>
      </c>
      <c r="D32" s="5" t="s">
        <v>17</v>
      </c>
      <c r="E32" s="4">
        <v>200</v>
      </c>
      <c r="F32" s="19">
        <f>6272-20.98</f>
        <v>6251.02</v>
      </c>
    </row>
    <row r="33" spans="1:6" ht="15.75">
      <c r="A33" s="3" t="s">
        <v>120</v>
      </c>
      <c r="B33" s="4" t="s">
        <v>8</v>
      </c>
      <c r="C33" s="14">
        <v>4</v>
      </c>
      <c r="D33" s="5" t="s">
        <v>17</v>
      </c>
      <c r="E33" s="4">
        <v>800</v>
      </c>
      <c r="F33" s="19">
        <f>2.5+55.23</f>
        <v>57.73</v>
      </c>
    </row>
    <row r="34" spans="1:6" ht="47.25">
      <c r="A34" s="3" t="s">
        <v>199</v>
      </c>
      <c r="B34" s="4" t="s">
        <v>8</v>
      </c>
      <c r="C34" s="14">
        <v>4</v>
      </c>
      <c r="D34" s="5" t="s">
        <v>200</v>
      </c>
      <c r="E34" s="4"/>
      <c r="F34" s="19">
        <f>F35</f>
        <v>526.5</v>
      </c>
    </row>
    <row r="35" spans="1:6" ht="15.75">
      <c r="A35" s="3" t="s">
        <v>123</v>
      </c>
      <c r="B35" s="4" t="s">
        <v>8</v>
      </c>
      <c r="C35" s="14">
        <v>4</v>
      </c>
      <c r="D35" s="5" t="s">
        <v>200</v>
      </c>
      <c r="E35" s="4">
        <v>500</v>
      </c>
      <c r="F35" s="19">
        <v>526.5</v>
      </c>
    </row>
    <row r="36" spans="1:6" ht="31.5">
      <c r="A36" s="3" t="s">
        <v>21</v>
      </c>
      <c r="B36" s="4" t="s">
        <v>8</v>
      </c>
      <c r="C36" s="4" t="s">
        <v>96</v>
      </c>
      <c r="D36" s="4">
        <v>9902524</v>
      </c>
      <c r="E36" s="4"/>
      <c r="F36" s="19">
        <f>F38+F37</f>
        <v>257.6</v>
      </c>
    </row>
    <row r="37" spans="1:6" ht="62.25" customHeight="1">
      <c r="A37" s="3" t="s">
        <v>117</v>
      </c>
      <c r="B37" s="4" t="s">
        <v>8</v>
      </c>
      <c r="C37" s="4" t="s">
        <v>96</v>
      </c>
      <c r="D37" s="4">
        <v>9902524</v>
      </c>
      <c r="E37" s="4">
        <v>100</v>
      </c>
      <c r="F37" s="6">
        <v>245.6</v>
      </c>
    </row>
    <row r="38" spans="1:6" ht="31.5">
      <c r="A38" s="3" t="s">
        <v>118</v>
      </c>
      <c r="B38" s="4" t="s">
        <v>8</v>
      </c>
      <c r="C38" s="4" t="s">
        <v>96</v>
      </c>
      <c r="D38" s="4">
        <v>9902524</v>
      </c>
      <c r="E38" s="4">
        <v>200</v>
      </c>
      <c r="F38" s="6">
        <v>12</v>
      </c>
    </row>
    <row r="39" spans="1:6" ht="31.5">
      <c r="A39" s="3" t="s">
        <v>20</v>
      </c>
      <c r="B39" s="4" t="s">
        <v>8</v>
      </c>
      <c r="C39" s="4" t="s">
        <v>96</v>
      </c>
      <c r="D39" s="4">
        <v>9902525</v>
      </c>
      <c r="E39" s="4"/>
      <c r="F39" s="19">
        <f>F40+F41</f>
        <v>257.6</v>
      </c>
    </row>
    <row r="40" spans="1:6" ht="62.25" customHeight="1">
      <c r="A40" s="3" t="s">
        <v>117</v>
      </c>
      <c r="B40" s="4" t="s">
        <v>8</v>
      </c>
      <c r="C40" s="4" t="s">
        <v>96</v>
      </c>
      <c r="D40" s="4">
        <v>9902525</v>
      </c>
      <c r="E40" s="4">
        <v>100</v>
      </c>
      <c r="F40" s="6">
        <v>245.6</v>
      </c>
    </row>
    <row r="41" spans="1:6" ht="31.5">
      <c r="A41" s="3" t="s">
        <v>118</v>
      </c>
      <c r="B41" s="4" t="s">
        <v>8</v>
      </c>
      <c r="C41" s="4" t="s">
        <v>96</v>
      </c>
      <c r="D41" s="4">
        <v>9902525</v>
      </c>
      <c r="E41" s="4">
        <v>200</v>
      </c>
      <c r="F41" s="6">
        <v>12</v>
      </c>
    </row>
    <row r="42" spans="1:6" ht="47.25">
      <c r="A42" s="13" t="s">
        <v>72</v>
      </c>
      <c r="B42" s="14">
        <v>1</v>
      </c>
      <c r="C42" s="14">
        <v>6</v>
      </c>
      <c r="D42" s="18"/>
      <c r="E42" s="16"/>
      <c r="F42" s="6">
        <f>F43</f>
        <v>10497.699999999999</v>
      </c>
    </row>
    <row r="43" spans="1:6" ht="31.5">
      <c r="A43" s="13" t="s">
        <v>10</v>
      </c>
      <c r="B43" s="14">
        <v>1</v>
      </c>
      <c r="C43" s="14">
        <v>6</v>
      </c>
      <c r="D43" s="18" t="s">
        <v>11</v>
      </c>
      <c r="E43" s="16"/>
      <c r="F43" s="6">
        <f>F44</f>
        <v>10497.699999999999</v>
      </c>
    </row>
    <row r="44" spans="1:6" ht="15.75">
      <c r="A44" s="13" t="s">
        <v>16</v>
      </c>
      <c r="B44" s="14">
        <v>1</v>
      </c>
      <c r="C44" s="14">
        <v>6</v>
      </c>
      <c r="D44" s="18" t="s">
        <v>17</v>
      </c>
      <c r="E44" s="16"/>
      <c r="F44" s="6">
        <f>F46+F45+F47</f>
        <v>10497.699999999999</v>
      </c>
    </row>
    <row r="45" spans="1:6" ht="62.25" customHeight="1">
      <c r="A45" s="3" t="s">
        <v>117</v>
      </c>
      <c r="B45" s="4" t="s">
        <v>8</v>
      </c>
      <c r="C45" s="4" t="s">
        <v>119</v>
      </c>
      <c r="D45" s="4" t="s">
        <v>17</v>
      </c>
      <c r="E45" s="4">
        <v>100</v>
      </c>
      <c r="F45" s="6">
        <v>7539.8</v>
      </c>
    </row>
    <row r="46" spans="1:6" ht="31.5">
      <c r="A46" s="3" t="s">
        <v>118</v>
      </c>
      <c r="B46" s="4" t="s">
        <v>8</v>
      </c>
      <c r="C46" s="4" t="s">
        <v>119</v>
      </c>
      <c r="D46" s="4" t="s">
        <v>17</v>
      </c>
      <c r="E46" s="4">
        <v>200</v>
      </c>
      <c r="F46" s="19">
        <f>3081.8-136.3</f>
        <v>2945.5</v>
      </c>
    </row>
    <row r="47" spans="1:6" ht="15.75">
      <c r="A47" s="3" t="s">
        <v>120</v>
      </c>
      <c r="B47" s="4" t="s">
        <v>8</v>
      </c>
      <c r="C47" s="4" t="s">
        <v>119</v>
      </c>
      <c r="D47" s="4" t="s">
        <v>17</v>
      </c>
      <c r="E47" s="4">
        <v>800</v>
      </c>
      <c r="F47" s="19">
        <f>0.1+12.3</f>
        <v>12.4</v>
      </c>
    </row>
    <row r="48" spans="1:6" ht="15.75">
      <c r="A48" s="3" t="s">
        <v>162</v>
      </c>
      <c r="B48" s="5" t="s">
        <v>8</v>
      </c>
      <c r="C48" s="5" t="s">
        <v>36</v>
      </c>
      <c r="D48" s="5"/>
      <c r="E48" s="4"/>
      <c r="F48" s="6">
        <f>F49</f>
        <v>1709.2</v>
      </c>
    </row>
    <row r="49" spans="1:6" ht="31.5">
      <c r="A49" s="3" t="s">
        <v>163</v>
      </c>
      <c r="B49" s="5" t="s">
        <v>8</v>
      </c>
      <c r="C49" s="5" t="s">
        <v>36</v>
      </c>
      <c r="D49" s="5" t="s">
        <v>164</v>
      </c>
      <c r="E49" s="4"/>
      <c r="F49" s="6">
        <f>F50</f>
        <v>1709.2</v>
      </c>
    </row>
    <row r="50" spans="1:6" ht="15.75">
      <c r="A50" s="3" t="s">
        <v>120</v>
      </c>
      <c r="B50" s="5" t="s">
        <v>8</v>
      </c>
      <c r="C50" s="5" t="s">
        <v>36</v>
      </c>
      <c r="D50" s="5" t="s">
        <v>164</v>
      </c>
      <c r="E50" s="4">
        <v>800</v>
      </c>
      <c r="F50" s="6">
        <v>1709.2</v>
      </c>
    </row>
    <row r="51" spans="1:6" ht="15.75">
      <c r="A51" s="13" t="s">
        <v>22</v>
      </c>
      <c r="B51" s="14">
        <v>1</v>
      </c>
      <c r="C51" s="14">
        <v>11</v>
      </c>
      <c r="D51" s="18"/>
      <c r="E51" s="16"/>
      <c r="F51" s="6">
        <f>F52</f>
        <v>6438</v>
      </c>
    </row>
    <row r="52" spans="1:6" ht="15.75">
      <c r="A52" s="13" t="s">
        <v>22</v>
      </c>
      <c r="B52" s="14">
        <v>1</v>
      </c>
      <c r="C52" s="14">
        <v>11</v>
      </c>
      <c r="D52" s="18" t="s">
        <v>23</v>
      </c>
      <c r="E52" s="16"/>
      <c r="F52" s="6">
        <f>F53</f>
        <v>6438</v>
      </c>
    </row>
    <row r="53" spans="1:6" ht="15.75">
      <c r="A53" s="13" t="s">
        <v>73</v>
      </c>
      <c r="B53" s="14">
        <v>1</v>
      </c>
      <c r="C53" s="14">
        <v>11</v>
      </c>
      <c r="D53" s="18" t="s">
        <v>24</v>
      </c>
      <c r="E53" s="16"/>
      <c r="F53" s="6">
        <f>F54</f>
        <v>6438</v>
      </c>
    </row>
    <row r="54" spans="1:6" ht="15.75">
      <c r="A54" s="3" t="s">
        <v>120</v>
      </c>
      <c r="B54" s="4" t="s">
        <v>8</v>
      </c>
      <c r="C54" s="4">
        <v>11</v>
      </c>
      <c r="D54" s="4" t="s">
        <v>24</v>
      </c>
      <c r="E54" s="4">
        <v>800</v>
      </c>
      <c r="F54" s="6">
        <f>6500-62</f>
        <v>6438</v>
      </c>
    </row>
    <row r="55" spans="1:6" ht="15.75">
      <c r="A55" s="13" t="s">
        <v>74</v>
      </c>
      <c r="B55" s="14">
        <v>1</v>
      </c>
      <c r="C55" s="14">
        <v>13</v>
      </c>
      <c r="D55" s="18"/>
      <c r="E55" s="16"/>
      <c r="F55" s="6">
        <f>F57+F61+F69+F73+F74+F77+F80+F83+F85+F87+F63+F66</f>
        <v>16385.97</v>
      </c>
    </row>
    <row r="56" spans="1:6" ht="31.5">
      <c r="A56" s="13" t="s">
        <v>10</v>
      </c>
      <c r="B56" s="14">
        <v>1</v>
      </c>
      <c r="C56" s="14">
        <v>13</v>
      </c>
      <c r="D56" s="18" t="s">
        <v>11</v>
      </c>
      <c r="E56" s="16"/>
      <c r="F56" s="6">
        <f>F59+F61</f>
        <v>3037.3</v>
      </c>
    </row>
    <row r="57" spans="1:6" ht="15.75">
      <c r="A57" s="13" t="s">
        <v>16</v>
      </c>
      <c r="B57" s="14">
        <v>1</v>
      </c>
      <c r="C57" s="14">
        <v>13</v>
      </c>
      <c r="D57" s="18" t="s">
        <v>17</v>
      </c>
      <c r="E57" s="16"/>
      <c r="F57" s="6">
        <f>F59+F58+F60</f>
        <v>6089.799999999999</v>
      </c>
    </row>
    <row r="58" spans="1:6" ht="62.25" customHeight="1">
      <c r="A58" s="3" t="s">
        <v>117</v>
      </c>
      <c r="B58" s="4" t="s">
        <v>8</v>
      </c>
      <c r="C58" s="4">
        <v>13</v>
      </c>
      <c r="D58" s="4" t="s">
        <v>17</v>
      </c>
      <c r="E58" s="4">
        <v>100</v>
      </c>
      <c r="F58" s="6">
        <f>3155.3+7+952.9+37</f>
        <v>4152.2</v>
      </c>
    </row>
    <row r="59" spans="1:6" ht="31.5">
      <c r="A59" s="3" t="s">
        <v>118</v>
      </c>
      <c r="B59" s="4" t="s">
        <v>8</v>
      </c>
      <c r="C59" s="4">
        <v>13</v>
      </c>
      <c r="D59" s="4" t="s">
        <v>17</v>
      </c>
      <c r="E59" s="4">
        <v>200</v>
      </c>
      <c r="F59" s="6">
        <f>1926.1-37-10+48</f>
        <v>1927.1</v>
      </c>
    </row>
    <row r="60" spans="1:6" ht="15.75">
      <c r="A60" s="3" t="s">
        <v>120</v>
      </c>
      <c r="B60" s="4" t="s">
        <v>8</v>
      </c>
      <c r="C60" s="4">
        <v>13</v>
      </c>
      <c r="D60" s="4" t="s">
        <v>17</v>
      </c>
      <c r="E60" s="4">
        <v>800</v>
      </c>
      <c r="F60" s="6">
        <f>0.5+10</f>
        <v>10.5</v>
      </c>
    </row>
    <row r="61" spans="1:6" ht="31.5">
      <c r="A61" s="3" t="s">
        <v>92</v>
      </c>
      <c r="B61" s="4" t="s">
        <v>8</v>
      </c>
      <c r="C61" s="4">
        <v>13</v>
      </c>
      <c r="D61" s="5" t="s">
        <v>93</v>
      </c>
      <c r="E61" s="4"/>
      <c r="F61" s="19">
        <f>F62</f>
        <v>1110.2</v>
      </c>
    </row>
    <row r="62" spans="1:6" ht="15.75">
      <c r="A62" s="3" t="s">
        <v>120</v>
      </c>
      <c r="B62" s="4" t="s">
        <v>8</v>
      </c>
      <c r="C62" s="4">
        <v>13</v>
      </c>
      <c r="D62" s="5" t="s">
        <v>93</v>
      </c>
      <c r="E62" s="4">
        <v>800</v>
      </c>
      <c r="F62" s="19">
        <v>1110.2</v>
      </c>
    </row>
    <row r="63" spans="1:6" ht="15.75" customHeight="1">
      <c r="A63" s="3" t="s">
        <v>26</v>
      </c>
      <c r="B63" s="4" t="s">
        <v>8</v>
      </c>
      <c r="C63" s="4">
        <v>13</v>
      </c>
      <c r="D63" s="5" t="s">
        <v>169</v>
      </c>
      <c r="E63" s="4"/>
      <c r="F63" s="6">
        <f>F65+F64</f>
        <v>335.4</v>
      </c>
    </row>
    <row r="64" spans="1:6" ht="31.5">
      <c r="A64" s="3" t="s">
        <v>118</v>
      </c>
      <c r="B64" s="4" t="s">
        <v>8</v>
      </c>
      <c r="C64" s="4">
        <v>13</v>
      </c>
      <c r="D64" s="5" t="s">
        <v>169</v>
      </c>
      <c r="E64" s="4">
        <v>200</v>
      </c>
      <c r="F64" s="6">
        <v>220</v>
      </c>
    </row>
    <row r="65" spans="1:6" ht="31.5">
      <c r="A65" s="3" t="s">
        <v>122</v>
      </c>
      <c r="B65" s="4" t="s">
        <v>8</v>
      </c>
      <c r="C65" s="4">
        <v>13</v>
      </c>
      <c r="D65" s="5" t="s">
        <v>169</v>
      </c>
      <c r="E65" s="4">
        <v>600</v>
      </c>
      <c r="F65" s="6">
        <v>115.4</v>
      </c>
    </row>
    <row r="66" spans="1:6" ht="15.75">
      <c r="A66" s="3" t="s">
        <v>196</v>
      </c>
      <c r="B66" s="4" t="s">
        <v>8</v>
      </c>
      <c r="C66" s="4">
        <v>13</v>
      </c>
      <c r="D66" s="5" t="s">
        <v>197</v>
      </c>
      <c r="E66" s="110"/>
      <c r="F66" s="6">
        <f>F67</f>
        <v>62</v>
      </c>
    </row>
    <row r="67" spans="1:7" ht="31.5">
      <c r="A67" s="3" t="s">
        <v>118</v>
      </c>
      <c r="B67" s="4" t="s">
        <v>8</v>
      </c>
      <c r="C67" s="4">
        <v>13</v>
      </c>
      <c r="D67" s="5" t="s">
        <v>197</v>
      </c>
      <c r="E67" s="110">
        <v>200</v>
      </c>
      <c r="F67" s="6">
        <v>62</v>
      </c>
      <c r="G67" s="111"/>
    </row>
    <row r="68" spans="1:6" ht="31.5">
      <c r="A68" s="13" t="s">
        <v>28</v>
      </c>
      <c r="B68" s="14">
        <v>1</v>
      </c>
      <c r="C68" s="14">
        <v>13</v>
      </c>
      <c r="D68" s="15">
        <v>4400000</v>
      </c>
      <c r="E68" s="16"/>
      <c r="F68" s="6">
        <f>F69</f>
        <v>740.8000000000001</v>
      </c>
    </row>
    <row r="69" spans="1:6" ht="15.75" customHeight="1">
      <c r="A69" s="13" t="s">
        <v>26</v>
      </c>
      <c r="B69" s="14">
        <v>1</v>
      </c>
      <c r="C69" s="14">
        <v>13</v>
      </c>
      <c r="D69" s="15">
        <v>4409900</v>
      </c>
      <c r="E69" s="16"/>
      <c r="F69" s="6">
        <f>F71+F70</f>
        <v>740.8000000000001</v>
      </c>
    </row>
    <row r="70" spans="1:6" ht="62.25" customHeight="1">
      <c r="A70" s="3" t="s">
        <v>117</v>
      </c>
      <c r="B70" s="4" t="s">
        <v>8</v>
      </c>
      <c r="C70" s="4">
        <v>13</v>
      </c>
      <c r="D70" s="4" t="s">
        <v>121</v>
      </c>
      <c r="E70" s="4">
        <v>100</v>
      </c>
      <c r="F70" s="6">
        <f>419.1+1+126.6</f>
        <v>546.7</v>
      </c>
    </row>
    <row r="71" spans="1:6" ht="31.5">
      <c r="A71" s="3" t="s">
        <v>118</v>
      </c>
      <c r="B71" s="4" t="s">
        <v>8</v>
      </c>
      <c r="C71" s="4">
        <v>13</v>
      </c>
      <c r="D71" s="4" t="s">
        <v>121</v>
      </c>
      <c r="E71" s="4">
        <v>200</v>
      </c>
      <c r="F71" s="6">
        <v>194.1</v>
      </c>
    </row>
    <row r="72" spans="1:6" ht="31.5">
      <c r="A72" s="3" t="s">
        <v>173</v>
      </c>
      <c r="B72" s="4" t="s">
        <v>8</v>
      </c>
      <c r="C72" s="4">
        <v>13</v>
      </c>
      <c r="D72" s="101">
        <v>7950200</v>
      </c>
      <c r="E72" s="4"/>
      <c r="F72" s="6">
        <f>F73</f>
        <v>3031.9</v>
      </c>
    </row>
    <row r="73" spans="1:6" ht="31.5">
      <c r="A73" s="3" t="s">
        <v>122</v>
      </c>
      <c r="B73" s="14">
        <v>1</v>
      </c>
      <c r="C73" s="14">
        <v>13</v>
      </c>
      <c r="D73" s="101">
        <v>7950200</v>
      </c>
      <c r="E73" s="4">
        <v>600</v>
      </c>
      <c r="F73" s="6">
        <v>3031.9</v>
      </c>
    </row>
    <row r="74" spans="1:6" ht="47.25">
      <c r="A74" s="8" t="s">
        <v>100</v>
      </c>
      <c r="B74" s="4" t="s">
        <v>8</v>
      </c>
      <c r="C74" s="4">
        <v>13</v>
      </c>
      <c r="D74" s="4">
        <v>9902526</v>
      </c>
      <c r="E74" s="4"/>
      <c r="F74" s="19">
        <f>F76+F75</f>
        <v>538</v>
      </c>
    </row>
    <row r="75" spans="1:6" ht="62.25" customHeight="1">
      <c r="A75" s="3" t="s">
        <v>117</v>
      </c>
      <c r="B75" s="4" t="s">
        <v>8</v>
      </c>
      <c r="C75" s="4">
        <v>13</v>
      </c>
      <c r="D75" s="4">
        <v>9902526</v>
      </c>
      <c r="E75" s="4">
        <v>100</v>
      </c>
      <c r="F75" s="6">
        <f>371.6+2+112.2</f>
        <v>485.8</v>
      </c>
    </row>
    <row r="76" spans="1:6" ht="31.5">
      <c r="A76" s="3" t="s">
        <v>118</v>
      </c>
      <c r="B76" s="4" t="s">
        <v>8</v>
      </c>
      <c r="C76" s="4">
        <v>13</v>
      </c>
      <c r="D76" s="4">
        <v>9902526</v>
      </c>
      <c r="E76" s="4">
        <v>200</v>
      </c>
      <c r="F76" s="6">
        <v>52.2</v>
      </c>
    </row>
    <row r="77" spans="1:6" ht="31.5">
      <c r="A77" s="3" t="s">
        <v>18</v>
      </c>
      <c r="B77" s="4" t="s">
        <v>8</v>
      </c>
      <c r="C77" s="4">
        <v>13</v>
      </c>
      <c r="D77" s="5" t="s">
        <v>183</v>
      </c>
      <c r="E77" s="4"/>
      <c r="F77" s="19">
        <f>F79+F78</f>
        <v>256.6</v>
      </c>
    </row>
    <row r="78" spans="1:6" ht="62.25" customHeight="1">
      <c r="A78" s="3" t="s">
        <v>117</v>
      </c>
      <c r="B78" s="4" t="s">
        <v>8</v>
      </c>
      <c r="C78" s="4">
        <v>13</v>
      </c>
      <c r="D78" s="5" t="s">
        <v>183</v>
      </c>
      <c r="E78" s="4">
        <v>100</v>
      </c>
      <c r="F78" s="6">
        <v>254.3</v>
      </c>
    </row>
    <row r="79" spans="1:6" ht="31.5">
      <c r="A79" s="3" t="s">
        <v>118</v>
      </c>
      <c r="B79" s="4" t="s">
        <v>8</v>
      </c>
      <c r="C79" s="4">
        <v>13</v>
      </c>
      <c r="D79" s="5" t="s">
        <v>183</v>
      </c>
      <c r="E79" s="4">
        <v>200</v>
      </c>
      <c r="F79" s="6">
        <v>2.3</v>
      </c>
    </row>
    <row r="80" spans="1:6" ht="31.5">
      <c r="A80" s="3" t="s">
        <v>29</v>
      </c>
      <c r="B80" s="4" t="s">
        <v>8</v>
      </c>
      <c r="C80" s="4">
        <v>13</v>
      </c>
      <c r="D80" s="5" t="s">
        <v>198</v>
      </c>
      <c r="E80" s="4"/>
      <c r="F80" s="19">
        <f>F82+F81</f>
        <v>1212.5</v>
      </c>
    </row>
    <row r="81" spans="1:6" ht="62.25" customHeight="1">
      <c r="A81" s="3" t="s">
        <v>117</v>
      </c>
      <c r="B81" s="4" t="s">
        <v>8</v>
      </c>
      <c r="C81" s="4">
        <v>13</v>
      </c>
      <c r="D81" s="5" t="s">
        <v>198</v>
      </c>
      <c r="E81" s="4">
        <v>100</v>
      </c>
      <c r="F81" s="6">
        <f>1125.5+18</f>
        <v>1143.5</v>
      </c>
    </row>
    <row r="82" spans="1:6" ht="31.5">
      <c r="A82" s="3" t="s">
        <v>118</v>
      </c>
      <c r="B82" s="4" t="s">
        <v>8</v>
      </c>
      <c r="C82" s="4">
        <v>13</v>
      </c>
      <c r="D82" s="5" t="s">
        <v>198</v>
      </c>
      <c r="E82" s="4">
        <v>200</v>
      </c>
      <c r="F82" s="6">
        <f>87-18</f>
        <v>69</v>
      </c>
    </row>
    <row r="83" spans="1:6" ht="31.5">
      <c r="A83" s="3" t="s">
        <v>31</v>
      </c>
      <c r="B83" s="4" t="s">
        <v>8</v>
      </c>
      <c r="C83" s="4">
        <v>13</v>
      </c>
      <c r="D83" s="4">
        <v>9902534</v>
      </c>
      <c r="E83" s="4"/>
      <c r="F83" s="19">
        <f>F84</f>
        <v>114.4</v>
      </c>
    </row>
    <row r="84" spans="1:6" ht="31.5">
      <c r="A84" s="3" t="s">
        <v>118</v>
      </c>
      <c r="B84" s="4" t="s">
        <v>8</v>
      </c>
      <c r="C84" s="4">
        <v>13</v>
      </c>
      <c r="D84" s="4">
        <v>9902534</v>
      </c>
      <c r="E84" s="4">
        <v>200</v>
      </c>
      <c r="F84" s="6">
        <v>114.4</v>
      </c>
    </row>
    <row r="85" spans="1:6" ht="47.25">
      <c r="A85" s="3" t="s">
        <v>111</v>
      </c>
      <c r="B85" s="4" t="s">
        <v>8</v>
      </c>
      <c r="C85" s="4">
        <v>13</v>
      </c>
      <c r="D85" s="5" t="s">
        <v>184</v>
      </c>
      <c r="E85" s="4"/>
      <c r="F85" s="6">
        <f>F86</f>
        <v>0.37</v>
      </c>
    </row>
    <row r="86" spans="1:6" ht="31.5">
      <c r="A86" s="3" t="s">
        <v>118</v>
      </c>
      <c r="B86" s="4" t="s">
        <v>8</v>
      </c>
      <c r="C86" s="4">
        <v>13</v>
      </c>
      <c r="D86" s="5" t="s">
        <v>184</v>
      </c>
      <c r="E86" s="4">
        <v>200</v>
      </c>
      <c r="F86" s="6">
        <v>0.37</v>
      </c>
    </row>
    <row r="87" spans="1:6" ht="15.75" customHeight="1">
      <c r="A87" s="3" t="s">
        <v>25</v>
      </c>
      <c r="B87" s="4" t="s">
        <v>8</v>
      </c>
      <c r="C87" s="4">
        <v>13</v>
      </c>
      <c r="D87" s="5" t="s">
        <v>185</v>
      </c>
      <c r="E87" s="7"/>
      <c r="F87" s="6">
        <f>F88+F89+F90</f>
        <v>2894</v>
      </c>
    </row>
    <row r="88" spans="1:6" ht="62.25" customHeight="1">
      <c r="A88" s="3" t="s">
        <v>117</v>
      </c>
      <c r="B88" s="4" t="s">
        <v>8</v>
      </c>
      <c r="C88" s="4">
        <v>13</v>
      </c>
      <c r="D88" s="5" t="s">
        <v>185</v>
      </c>
      <c r="E88" s="4">
        <v>100</v>
      </c>
      <c r="F88" s="6">
        <v>1227.3</v>
      </c>
    </row>
    <row r="89" spans="1:6" ht="31.5">
      <c r="A89" s="3" t="s">
        <v>118</v>
      </c>
      <c r="B89" s="4" t="s">
        <v>8</v>
      </c>
      <c r="C89" s="4">
        <v>13</v>
      </c>
      <c r="D89" s="5" t="s">
        <v>185</v>
      </c>
      <c r="E89" s="4">
        <v>200</v>
      </c>
      <c r="F89" s="6">
        <v>1552.7</v>
      </c>
    </row>
    <row r="90" spans="1:6" ht="15.75">
      <c r="A90" s="3" t="s">
        <v>123</v>
      </c>
      <c r="B90" s="4" t="s">
        <v>8</v>
      </c>
      <c r="C90" s="4">
        <v>13</v>
      </c>
      <c r="D90" s="5" t="s">
        <v>185</v>
      </c>
      <c r="E90" s="5" t="s">
        <v>19</v>
      </c>
      <c r="F90" s="6">
        <v>114</v>
      </c>
    </row>
    <row r="91" spans="1:8" ht="15.75">
      <c r="A91" s="39" t="s">
        <v>44</v>
      </c>
      <c r="B91" s="40" t="s">
        <v>9</v>
      </c>
      <c r="C91" s="41"/>
      <c r="D91" s="40"/>
      <c r="E91" s="40"/>
      <c r="F91" s="42">
        <f>F92</f>
        <v>1284</v>
      </c>
      <c r="G91" s="58">
        <v>1284</v>
      </c>
      <c r="H91" s="69">
        <f>G91-F91</f>
        <v>0</v>
      </c>
    </row>
    <row r="92" spans="1:6" ht="15.75">
      <c r="A92" s="3" t="s">
        <v>45</v>
      </c>
      <c r="B92" s="5" t="s">
        <v>9</v>
      </c>
      <c r="C92" s="5" t="s">
        <v>15</v>
      </c>
      <c r="D92" s="5"/>
      <c r="E92" s="5"/>
      <c r="F92" s="6">
        <f>F93</f>
        <v>1284</v>
      </c>
    </row>
    <row r="93" spans="1:6" ht="31.5">
      <c r="A93" s="3" t="s">
        <v>46</v>
      </c>
      <c r="B93" s="5" t="s">
        <v>9</v>
      </c>
      <c r="C93" s="5" t="s">
        <v>15</v>
      </c>
      <c r="D93" s="5" t="s">
        <v>194</v>
      </c>
      <c r="E93" s="5"/>
      <c r="F93" s="6">
        <f>F94</f>
        <v>1284</v>
      </c>
    </row>
    <row r="94" spans="1:6" ht="15.75">
      <c r="A94" s="3" t="s">
        <v>123</v>
      </c>
      <c r="B94" s="5" t="s">
        <v>9</v>
      </c>
      <c r="C94" s="5" t="s">
        <v>15</v>
      </c>
      <c r="D94" s="5" t="s">
        <v>194</v>
      </c>
      <c r="E94" s="5" t="s">
        <v>19</v>
      </c>
      <c r="F94" s="6">
        <v>1284</v>
      </c>
    </row>
    <row r="95" spans="1:8" ht="31.5">
      <c r="A95" s="33" t="s">
        <v>75</v>
      </c>
      <c r="B95" s="34">
        <v>3</v>
      </c>
      <c r="C95" s="34"/>
      <c r="D95" s="43"/>
      <c r="E95" s="44"/>
      <c r="F95" s="45">
        <f>F96</f>
        <v>990.5</v>
      </c>
      <c r="G95" s="58">
        <v>990.5</v>
      </c>
      <c r="H95" s="69">
        <f>G95-F95</f>
        <v>0</v>
      </c>
    </row>
    <row r="96" spans="1:6" ht="30.75" customHeight="1">
      <c r="A96" s="3" t="s">
        <v>87</v>
      </c>
      <c r="B96" s="5" t="s">
        <v>15</v>
      </c>
      <c r="C96" s="5" t="s">
        <v>35</v>
      </c>
      <c r="D96" s="4"/>
      <c r="E96" s="4"/>
      <c r="F96" s="6">
        <f>F97</f>
        <v>990.5</v>
      </c>
    </row>
    <row r="97" spans="1:6" ht="31.5">
      <c r="A97" s="3" t="s">
        <v>55</v>
      </c>
      <c r="B97" s="5" t="s">
        <v>15</v>
      </c>
      <c r="C97" s="5" t="s">
        <v>35</v>
      </c>
      <c r="D97" s="4">
        <v>2026700</v>
      </c>
      <c r="E97" s="5"/>
      <c r="F97" s="6">
        <f>F99+F98</f>
        <v>990.5</v>
      </c>
    </row>
    <row r="98" spans="1:6" ht="62.25" customHeight="1">
      <c r="A98" s="3" t="s">
        <v>117</v>
      </c>
      <c r="B98" s="5" t="s">
        <v>15</v>
      </c>
      <c r="C98" s="5" t="s">
        <v>35</v>
      </c>
      <c r="D98" s="4">
        <v>2026700</v>
      </c>
      <c r="E98" s="4">
        <v>100</v>
      </c>
      <c r="F98" s="6">
        <v>978.5</v>
      </c>
    </row>
    <row r="99" spans="1:6" ht="31.5">
      <c r="A99" s="3" t="s">
        <v>118</v>
      </c>
      <c r="B99" s="5" t="s">
        <v>15</v>
      </c>
      <c r="C99" s="5" t="s">
        <v>35</v>
      </c>
      <c r="D99" s="4">
        <v>2026700</v>
      </c>
      <c r="E99" s="4">
        <v>200</v>
      </c>
      <c r="F99" s="6">
        <v>12</v>
      </c>
    </row>
    <row r="100" spans="1:8" ht="15.75">
      <c r="A100" s="33" t="s">
        <v>95</v>
      </c>
      <c r="B100" s="34">
        <v>4</v>
      </c>
      <c r="C100" s="34"/>
      <c r="D100" s="43"/>
      <c r="E100" s="44"/>
      <c r="F100" s="45">
        <f>F103+F106+F101+F109</f>
        <v>31874.9</v>
      </c>
      <c r="G100" s="58">
        <v>18409.4</v>
      </c>
      <c r="H100" s="69">
        <f>G100-F100</f>
        <v>-13465.5</v>
      </c>
    </row>
    <row r="101" spans="1:8" ht="31.5">
      <c r="A101" s="3" t="s">
        <v>201</v>
      </c>
      <c r="B101" s="5" t="s">
        <v>96</v>
      </c>
      <c r="C101" s="5" t="s">
        <v>32</v>
      </c>
      <c r="D101" s="112">
        <v>2600400</v>
      </c>
      <c r="E101" s="113"/>
      <c r="F101" s="6">
        <f>F102</f>
        <v>10000</v>
      </c>
      <c r="H101" s="69"/>
    </row>
    <row r="102" spans="1:8" ht="31.5">
      <c r="A102" s="3" t="s">
        <v>122</v>
      </c>
      <c r="B102" s="5" t="s">
        <v>96</v>
      </c>
      <c r="C102" s="5" t="s">
        <v>32</v>
      </c>
      <c r="D102" s="112">
        <v>2600400</v>
      </c>
      <c r="E102" s="113">
        <v>600</v>
      </c>
      <c r="F102" s="6">
        <v>10000</v>
      </c>
      <c r="H102" s="69"/>
    </row>
    <row r="103" spans="1:6" ht="62.25" customHeight="1">
      <c r="A103" s="3" t="s">
        <v>139</v>
      </c>
      <c r="B103" s="5" t="s">
        <v>96</v>
      </c>
      <c r="C103" s="5" t="s">
        <v>32</v>
      </c>
      <c r="D103" s="4">
        <v>2802536</v>
      </c>
      <c r="E103" s="5"/>
      <c r="F103" s="6">
        <f>F104+F105</f>
        <v>1109.4</v>
      </c>
    </row>
    <row r="104" spans="1:6" ht="31.5">
      <c r="A104" s="3" t="s">
        <v>118</v>
      </c>
      <c r="B104" s="5" t="s">
        <v>96</v>
      </c>
      <c r="C104" s="5" t="s">
        <v>32</v>
      </c>
      <c r="D104" s="4">
        <v>2802536</v>
      </c>
      <c r="E104" s="4">
        <v>200</v>
      </c>
      <c r="F104" s="6">
        <v>1015.2</v>
      </c>
    </row>
    <row r="105" spans="1:6" ht="31.5">
      <c r="A105" s="3" t="s">
        <v>118</v>
      </c>
      <c r="B105" s="5" t="s">
        <v>96</v>
      </c>
      <c r="C105" s="5" t="s">
        <v>32</v>
      </c>
      <c r="D105" s="4">
        <v>2802536</v>
      </c>
      <c r="E105" s="4">
        <v>200</v>
      </c>
      <c r="F105" s="6">
        <v>94.2</v>
      </c>
    </row>
    <row r="106" spans="1:6" ht="15.75">
      <c r="A106" s="3" t="s">
        <v>124</v>
      </c>
      <c r="B106" s="5" t="s">
        <v>96</v>
      </c>
      <c r="C106" s="5" t="s">
        <v>35</v>
      </c>
      <c r="D106" s="4"/>
      <c r="E106" s="4"/>
      <c r="F106" s="6">
        <f>F107</f>
        <v>17300</v>
      </c>
    </row>
    <row r="107" spans="1:6" ht="15.75">
      <c r="A107" s="3" t="s">
        <v>125</v>
      </c>
      <c r="B107" s="5" t="s">
        <v>96</v>
      </c>
      <c r="C107" s="5" t="s">
        <v>35</v>
      </c>
      <c r="D107" s="4">
        <v>3150500</v>
      </c>
      <c r="E107" s="4"/>
      <c r="F107" s="6">
        <f>F108</f>
        <v>17300</v>
      </c>
    </row>
    <row r="108" spans="1:6" ht="31.5">
      <c r="A108" s="3" t="s">
        <v>118</v>
      </c>
      <c r="B108" s="5" t="s">
        <v>96</v>
      </c>
      <c r="C108" s="5" t="s">
        <v>35</v>
      </c>
      <c r="D108" s="4">
        <v>3150500</v>
      </c>
      <c r="E108" s="4">
        <v>200</v>
      </c>
      <c r="F108" s="6">
        <v>17300</v>
      </c>
    </row>
    <row r="109" spans="1:6" ht="15.75">
      <c r="A109" s="3" t="s">
        <v>202</v>
      </c>
      <c r="B109" s="5" t="s">
        <v>96</v>
      </c>
      <c r="C109" s="5" t="s">
        <v>204</v>
      </c>
      <c r="D109" s="4"/>
      <c r="E109" s="110"/>
      <c r="F109" s="6">
        <f>F110</f>
        <v>3465.5</v>
      </c>
    </row>
    <row r="110" spans="1:6" ht="31.5">
      <c r="A110" s="3" t="s">
        <v>203</v>
      </c>
      <c r="B110" s="5" t="s">
        <v>96</v>
      </c>
      <c r="C110" s="5" t="s">
        <v>204</v>
      </c>
      <c r="D110" s="5" t="s">
        <v>206</v>
      </c>
      <c r="E110" s="110"/>
      <c r="F110" s="6">
        <f>F111</f>
        <v>3465.5</v>
      </c>
    </row>
    <row r="111" spans="1:6" ht="15" customHeight="1">
      <c r="A111" s="3" t="s">
        <v>26</v>
      </c>
      <c r="B111" s="5" t="s">
        <v>96</v>
      </c>
      <c r="C111" s="5" t="s">
        <v>204</v>
      </c>
      <c r="D111" s="5" t="s">
        <v>205</v>
      </c>
      <c r="E111" s="110"/>
      <c r="F111" s="6">
        <f>F114+F113+F112</f>
        <v>3465.5</v>
      </c>
    </row>
    <row r="112" spans="1:6" ht="66.75" customHeight="1">
      <c r="A112" s="3" t="s">
        <v>117</v>
      </c>
      <c r="B112" s="5" t="s">
        <v>96</v>
      </c>
      <c r="C112" s="5" t="s">
        <v>204</v>
      </c>
      <c r="D112" s="5" t="s">
        <v>205</v>
      </c>
      <c r="E112" s="110">
        <v>100</v>
      </c>
      <c r="F112" s="6">
        <v>2771.9</v>
      </c>
    </row>
    <row r="113" spans="1:6" ht="31.5">
      <c r="A113" s="3" t="s">
        <v>118</v>
      </c>
      <c r="B113" s="5" t="s">
        <v>96</v>
      </c>
      <c r="C113" s="5" t="s">
        <v>204</v>
      </c>
      <c r="D113" s="5" t="s">
        <v>205</v>
      </c>
      <c r="E113" s="110">
        <v>200</v>
      </c>
      <c r="F113" s="6">
        <v>678.5</v>
      </c>
    </row>
    <row r="114" spans="1:6" ht="15.75">
      <c r="A114" s="3" t="s">
        <v>120</v>
      </c>
      <c r="B114" s="5" t="s">
        <v>96</v>
      </c>
      <c r="C114" s="5" t="s">
        <v>204</v>
      </c>
      <c r="D114" s="5" t="s">
        <v>205</v>
      </c>
      <c r="E114" s="110">
        <v>800</v>
      </c>
      <c r="F114" s="6">
        <v>15.1</v>
      </c>
    </row>
    <row r="115" spans="1:8" ht="15.75">
      <c r="A115" s="33" t="s">
        <v>34</v>
      </c>
      <c r="B115" s="34">
        <v>5</v>
      </c>
      <c r="C115" s="46"/>
      <c r="D115" s="47"/>
      <c r="E115" s="48"/>
      <c r="F115" s="38">
        <f>F116+F122</f>
        <v>33510.4</v>
      </c>
      <c r="G115" s="58">
        <v>36976</v>
      </c>
      <c r="H115" s="69">
        <f>G115-F115</f>
        <v>3465.5999999999985</v>
      </c>
    </row>
    <row r="116" spans="1:8" ht="15.75">
      <c r="A116" s="3" t="s">
        <v>150</v>
      </c>
      <c r="B116" s="4" t="s">
        <v>32</v>
      </c>
      <c r="C116" s="5" t="s">
        <v>8</v>
      </c>
      <c r="D116" s="4"/>
      <c r="E116" s="4"/>
      <c r="F116" s="6">
        <f>F117+F119</f>
        <v>32120</v>
      </c>
      <c r="H116" s="69"/>
    </row>
    <row r="117" spans="1:8" ht="31.5">
      <c r="A117" s="102" t="s">
        <v>153</v>
      </c>
      <c r="B117" s="5" t="s">
        <v>32</v>
      </c>
      <c r="C117" s="5" t="s">
        <v>8</v>
      </c>
      <c r="D117" s="5" t="s">
        <v>152</v>
      </c>
      <c r="E117" s="5"/>
      <c r="F117" s="6">
        <f>F118</f>
        <v>31537</v>
      </c>
      <c r="H117" s="69"/>
    </row>
    <row r="118" spans="1:8" ht="15.75">
      <c r="A118" s="3" t="s">
        <v>120</v>
      </c>
      <c r="B118" s="4" t="s">
        <v>32</v>
      </c>
      <c r="C118" s="5" t="s">
        <v>8</v>
      </c>
      <c r="D118" s="5" t="s">
        <v>152</v>
      </c>
      <c r="E118" s="5" t="s">
        <v>151</v>
      </c>
      <c r="F118" s="6">
        <v>31537</v>
      </c>
      <c r="H118" s="69"/>
    </row>
    <row r="119" spans="1:8" ht="15.75">
      <c r="A119" s="3" t="s">
        <v>154</v>
      </c>
      <c r="B119" s="4" t="s">
        <v>32</v>
      </c>
      <c r="C119" s="5" t="s">
        <v>8</v>
      </c>
      <c r="D119" s="5" t="s">
        <v>156</v>
      </c>
      <c r="E119" s="5"/>
      <c r="F119" s="6">
        <f>F120</f>
        <v>583</v>
      </c>
      <c r="H119" s="69"/>
    </row>
    <row r="120" spans="1:8" ht="15.75">
      <c r="A120" s="3" t="s">
        <v>155</v>
      </c>
      <c r="B120" s="4" t="s">
        <v>32</v>
      </c>
      <c r="C120" s="5" t="s">
        <v>8</v>
      </c>
      <c r="D120" s="5" t="s">
        <v>157</v>
      </c>
      <c r="E120" s="5"/>
      <c r="F120" s="6">
        <f>F121</f>
        <v>583</v>
      </c>
      <c r="H120" s="69"/>
    </row>
    <row r="121" spans="1:8" ht="31.5">
      <c r="A121" s="3" t="s">
        <v>118</v>
      </c>
      <c r="B121" s="5" t="s">
        <v>32</v>
      </c>
      <c r="C121" s="5" t="s">
        <v>8</v>
      </c>
      <c r="D121" s="5" t="s">
        <v>157</v>
      </c>
      <c r="E121" s="4">
        <v>200</v>
      </c>
      <c r="F121" s="6">
        <v>583</v>
      </c>
      <c r="H121" s="69"/>
    </row>
    <row r="122" spans="1:6" ht="15.75">
      <c r="A122" s="3" t="s">
        <v>207</v>
      </c>
      <c r="B122" s="4" t="s">
        <v>32</v>
      </c>
      <c r="C122" s="5" t="s">
        <v>9</v>
      </c>
      <c r="D122" s="9"/>
      <c r="E122" s="4"/>
      <c r="F122" s="6">
        <f>F123</f>
        <v>1390.4</v>
      </c>
    </row>
    <row r="123" spans="1:6" ht="15.75">
      <c r="A123" s="3" t="s">
        <v>208</v>
      </c>
      <c r="B123" s="4" t="s">
        <v>32</v>
      </c>
      <c r="C123" s="5" t="s">
        <v>9</v>
      </c>
      <c r="D123" s="101">
        <v>3510500</v>
      </c>
      <c r="E123" s="67"/>
      <c r="F123" s="6">
        <f>F124</f>
        <v>1390.4</v>
      </c>
    </row>
    <row r="124" spans="1:6" ht="31.5" customHeight="1">
      <c r="A124" s="3" t="s">
        <v>118</v>
      </c>
      <c r="B124" s="4" t="s">
        <v>32</v>
      </c>
      <c r="C124" s="5" t="s">
        <v>9</v>
      </c>
      <c r="D124" s="101">
        <v>3510500</v>
      </c>
      <c r="E124" s="4">
        <v>200</v>
      </c>
      <c r="F124" s="6">
        <v>1390.4</v>
      </c>
    </row>
    <row r="125" spans="1:8" ht="15.75">
      <c r="A125" s="33" t="s">
        <v>89</v>
      </c>
      <c r="B125" s="34">
        <v>6</v>
      </c>
      <c r="C125" s="46"/>
      <c r="D125" s="47"/>
      <c r="E125" s="48"/>
      <c r="F125" s="38">
        <f>F126</f>
        <v>7126</v>
      </c>
      <c r="G125" s="58">
        <v>7126</v>
      </c>
      <c r="H125" s="69">
        <f>G125-F125</f>
        <v>0</v>
      </c>
    </row>
    <row r="126" spans="1:6" ht="31.5">
      <c r="A126" s="32" t="s">
        <v>90</v>
      </c>
      <c r="B126" s="30">
        <v>6</v>
      </c>
      <c r="C126" s="30">
        <v>3</v>
      </c>
      <c r="D126" s="7"/>
      <c r="E126" s="31"/>
      <c r="F126" s="6">
        <f>F127</f>
        <v>7126</v>
      </c>
    </row>
    <row r="127" spans="1:6" ht="15.75">
      <c r="A127" s="32" t="s">
        <v>128</v>
      </c>
      <c r="B127" s="30">
        <v>6</v>
      </c>
      <c r="C127" s="30">
        <v>3</v>
      </c>
      <c r="D127" s="7">
        <v>4100000</v>
      </c>
      <c r="E127" s="31"/>
      <c r="F127" s="6">
        <f>F128</f>
        <v>7126</v>
      </c>
    </row>
    <row r="128" spans="1:6" ht="15.75">
      <c r="A128" s="32" t="s">
        <v>94</v>
      </c>
      <c r="B128" s="30">
        <v>6</v>
      </c>
      <c r="C128" s="30">
        <v>3</v>
      </c>
      <c r="D128" s="7">
        <v>4100103</v>
      </c>
      <c r="E128" s="31"/>
      <c r="F128" s="6">
        <f>F129</f>
        <v>7126</v>
      </c>
    </row>
    <row r="129" spans="1:6" ht="31.5">
      <c r="A129" s="3" t="s">
        <v>118</v>
      </c>
      <c r="B129" s="30">
        <v>6</v>
      </c>
      <c r="C129" s="30">
        <v>3</v>
      </c>
      <c r="D129" s="7">
        <v>4100103</v>
      </c>
      <c r="E129" s="4">
        <v>200</v>
      </c>
      <c r="F129" s="6">
        <v>7126</v>
      </c>
    </row>
    <row r="130" spans="1:8" ht="15.75">
      <c r="A130" s="33" t="s">
        <v>47</v>
      </c>
      <c r="B130" s="46">
        <v>7</v>
      </c>
      <c r="C130" s="46"/>
      <c r="D130" s="47"/>
      <c r="E130" s="48"/>
      <c r="F130" s="38">
        <f>F131+F139+F157+F171</f>
        <v>1080690.96</v>
      </c>
      <c r="G130" s="103">
        <v>1066771.3</v>
      </c>
      <c r="H130" s="69">
        <f>G130-F130</f>
        <v>-13919.659999999916</v>
      </c>
    </row>
    <row r="131" spans="1:6" ht="15.75">
      <c r="A131" s="13" t="s">
        <v>76</v>
      </c>
      <c r="B131" s="20">
        <v>7</v>
      </c>
      <c r="C131" s="20">
        <v>1</v>
      </c>
      <c r="D131" s="21"/>
      <c r="E131" s="22"/>
      <c r="F131" s="19">
        <f>F134+F132+F137</f>
        <v>423018.55</v>
      </c>
    </row>
    <row r="132" spans="1:6" ht="63.75" customHeight="1">
      <c r="A132" s="3" t="s">
        <v>186</v>
      </c>
      <c r="B132" s="4" t="s">
        <v>36</v>
      </c>
      <c r="C132" s="4" t="s">
        <v>8</v>
      </c>
      <c r="D132" s="5" t="s">
        <v>187</v>
      </c>
      <c r="E132" s="4"/>
      <c r="F132" s="6">
        <f>F133</f>
        <v>150208.8</v>
      </c>
    </row>
    <row r="133" spans="1:6" ht="31.5">
      <c r="A133" s="3" t="s">
        <v>122</v>
      </c>
      <c r="B133" s="4" t="s">
        <v>36</v>
      </c>
      <c r="C133" s="4" t="s">
        <v>8</v>
      </c>
      <c r="D133" s="5" t="s">
        <v>187</v>
      </c>
      <c r="E133" s="4">
        <v>600</v>
      </c>
      <c r="F133" s="6">
        <v>150208.8</v>
      </c>
    </row>
    <row r="134" spans="1:6" ht="15.75">
      <c r="A134" s="13" t="s">
        <v>56</v>
      </c>
      <c r="B134" s="20">
        <v>7</v>
      </c>
      <c r="C134" s="20">
        <v>1</v>
      </c>
      <c r="D134" s="21">
        <v>1504362</v>
      </c>
      <c r="E134" s="22"/>
      <c r="F134" s="19">
        <f>F135</f>
        <v>272709.75</v>
      </c>
    </row>
    <row r="135" spans="1:6" ht="47.25">
      <c r="A135" s="3" t="s">
        <v>174</v>
      </c>
      <c r="B135" s="4" t="s">
        <v>36</v>
      </c>
      <c r="C135" s="4" t="s">
        <v>8</v>
      </c>
      <c r="D135" s="4">
        <v>1504362</v>
      </c>
      <c r="E135" s="4"/>
      <c r="F135" s="6">
        <f>F136</f>
        <v>272709.75</v>
      </c>
    </row>
    <row r="136" spans="1:6" ht="31.5">
      <c r="A136" s="3" t="s">
        <v>122</v>
      </c>
      <c r="B136" s="4" t="s">
        <v>36</v>
      </c>
      <c r="C136" s="4" t="s">
        <v>8</v>
      </c>
      <c r="D136" s="4">
        <v>1504362</v>
      </c>
      <c r="E136" s="4">
        <v>600</v>
      </c>
      <c r="F136" s="6">
        <f>258481.8-100+13774.2+553.75</f>
        <v>272709.75</v>
      </c>
    </row>
    <row r="137" spans="1:6" ht="63">
      <c r="A137" s="3" t="s">
        <v>182</v>
      </c>
      <c r="B137" s="4" t="s">
        <v>36</v>
      </c>
      <c r="C137" s="4" t="s">
        <v>8</v>
      </c>
      <c r="D137" s="101">
        <v>7950600</v>
      </c>
      <c r="E137" s="4"/>
      <c r="F137" s="6">
        <f>F138</f>
        <v>100</v>
      </c>
    </row>
    <row r="138" spans="1:6" ht="31.5">
      <c r="A138" s="3" t="s">
        <v>122</v>
      </c>
      <c r="B138" s="4" t="s">
        <v>36</v>
      </c>
      <c r="C138" s="4" t="s">
        <v>8</v>
      </c>
      <c r="D138" s="101">
        <v>7950600</v>
      </c>
      <c r="E138" s="4">
        <v>600</v>
      </c>
      <c r="F138" s="6">
        <v>100</v>
      </c>
    </row>
    <row r="139" spans="1:6" ht="15.75">
      <c r="A139" s="13" t="s">
        <v>57</v>
      </c>
      <c r="B139" s="14">
        <v>7</v>
      </c>
      <c r="C139" s="14">
        <v>2</v>
      </c>
      <c r="D139" s="15"/>
      <c r="E139" s="16"/>
      <c r="F139" s="19">
        <f>F144+F140+F153+F142+F147+F149+F151+F155</f>
        <v>579145.16</v>
      </c>
    </row>
    <row r="140" spans="1:6" ht="93.75" customHeight="1">
      <c r="A140" s="3" t="s">
        <v>188</v>
      </c>
      <c r="B140" s="4" t="s">
        <v>36</v>
      </c>
      <c r="C140" s="4" t="s">
        <v>9</v>
      </c>
      <c r="D140" s="5" t="s">
        <v>189</v>
      </c>
      <c r="E140" s="4"/>
      <c r="F140" s="6">
        <f>F141</f>
        <v>298156.4</v>
      </c>
    </row>
    <row r="141" spans="1:6" ht="31.5">
      <c r="A141" s="3" t="s">
        <v>122</v>
      </c>
      <c r="B141" s="4" t="s">
        <v>36</v>
      </c>
      <c r="C141" s="4" t="s">
        <v>9</v>
      </c>
      <c r="D141" s="5" t="s">
        <v>189</v>
      </c>
      <c r="E141" s="4">
        <v>600</v>
      </c>
      <c r="F141" s="6">
        <v>298156.4</v>
      </c>
    </row>
    <row r="142" spans="1:6" ht="63">
      <c r="A142" s="3" t="s">
        <v>214</v>
      </c>
      <c r="B142" s="4" t="s">
        <v>36</v>
      </c>
      <c r="C142" s="4" t="s">
        <v>9</v>
      </c>
      <c r="D142" s="4">
        <v>1104233</v>
      </c>
      <c r="E142" s="4"/>
      <c r="F142" s="6">
        <f>F143</f>
        <v>144.01</v>
      </c>
    </row>
    <row r="143" spans="1:6" ht="31.5">
      <c r="A143" s="3" t="s">
        <v>122</v>
      </c>
      <c r="B143" s="4" t="s">
        <v>36</v>
      </c>
      <c r="C143" s="4" t="s">
        <v>9</v>
      </c>
      <c r="D143" s="4">
        <v>1104233</v>
      </c>
      <c r="E143" s="4">
        <v>600</v>
      </c>
      <c r="F143" s="6">
        <v>144.01</v>
      </c>
    </row>
    <row r="144" spans="1:6" ht="31.5">
      <c r="A144" s="13" t="s">
        <v>58</v>
      </c>
      <c r="B144" s="14">
        <v>7</v>
      </c>
      <c r="C144" s="14">
        <v>2</v>
      </c>
      <c r="D144" s="15">
        <v>1414362</v>
      </c>
      <c r="E144" s="16"/>
      <c r="F144" s="19">
        <f>F145</f>
        <v>185724.7</v>
      </c>
    </row>
    <row r="145" spans="1:6" ht="32.25" customHeight="1">
      <c r="A145" s="3" t="s">
        <v>209</v>
      </c>
      <c r="B145" s="14">
        <v>7</v>
      </c>
      <c r="C145" s="14">
        <v>2</v>
      </c>
      <c r="D145" s="15">
        <v>1414362</v>
      </c>
      <c r="E145" s="16"/>
      <c r="F145" s="19">
        <f>F146</f>
        <v>185724.7</v>
      </c>
    </row>
    <row r="146" spans="1:6" ht="31.5">
      <c r="A146" s="3" t="s">
        <v>122</v>
      </c>
      <c r="B146" s="4" t="s">
        <v>36</v>
      </c>
      <c r="C146" s="4" t="s">
        <v>9</v>
      </c>
      <c r="D146" s="4">
        <v>1414362</v>
      </c>
      <c r="E146" s="4">
        <v>600</v>
      </c>
      <c r="F146" s="6">
        <f>188046.7-1000-100-261.8-960.2</f>
        <v>185724.7</v>
      </c>
    </row>
    <row r="147" spans="1:6" ht="63">
      <c r="A147" s="3" t="s">
        <v>210</v>
      </c>
      <c r="B147" s="4" t="s">
        <v>36</v>
      </c>
      <c r="C147" s="4" t="s">
        <v>9</v>
      </c>
      <c r="D147" s="4">
        <v>1104362</v>
      </c>
      <c r="E147" s="4"/>
      <c r="F147" s="6">
        <f>F148</f>
        <v>36123.2</v>
      </c>
    </row>
    <row r="148" spans="1:6" ht="31.5">
      <c r="A148" s="3" t="s">
        <v>122</v>
      </c>
      <c r="B148" s="4" t="s">
        <v>36</v>
      </c>
      <c r="C148" s="4" t="s">
        <v>9</v>
      </c>
      <c r="D148" s="4">
        <v>1104362</v>
      </c>
      <c r="E148" s="4">
        <v>600</v>
      </c>
      <c r="F148" s="6">
        <f>35617.2+1000-494</f>
        <v>36123.2</v>
      </c>
    </row>
    <row r="149" spans="1:6" ht="47.25" customHeight="1">
      <c r="A149" s="3" t="s">
        <v>212</v>
      </c>
      <c r="B149" s="4" t="s">
        <v>36</v>
      </c>
      <c r="C149" s="4" t="s">
        <v>9</v>
      </c>
      <c r="D149" s="4">
        <v>1204362</v>
      </c>
      <c r="E149" s="4"/>
      <c r="F149" s="6">
        <f>F150</f>
        <v>31847.3</v>
      </c>
    </row>
    <row r="150" spans="1:6" ht="31.5">
      <c r="A150" s="3" t="s">
        <v>122</v>
      </c>
      <c r="B150" s="4" t="s">
        <v>36</v>
      </c>
      <c r="C150" s="4" t="s">
        <v>9</v>
      </c>
      <c r="D150" s="4">
        <v>1204362</v>
      </c>
      <c r="E150" s="4">
        <v>600</v>
      </c>
      <c r="F150" s="6">
        <f>31153.3+200+494</f>
        <v>31847.3</v>
      </c>
    </row>
    <row r="151" spans="1:6" ht="15.75">
      <c r="A151" s="3" t="s">
        <v>211</v>
      </c>
      <c r="B151" s="4" t="s">
        <v>36</v>
      </c>
      <c r="C151" s="4" t="s">
        <v>9</v>
      </c>
      <c r="D151" s="4">
        <v>1304362</v>
      </c>
      <c r="E151" s="4"/>
      <c r="F151" s="6">
        <f>F152</f>
        <v>27048.1</v>
      </c>
    </row>
    <row r="152" spans="1:6" ht="31.5">
      <c r="A152" s="3" t="s">
        <v>122</v>
      </c>
      <c r="B152" s="4" t="s">
        <v>36</v>
      </c>
      <c r="C152" s="4" t="s">
        <v>9</v>
      </c>
      <c r="D152" s="4">
        <v>1304362</v>
      </c>
      <c r="E152" s="4">
        <v>600</v>
      </c>
      <c r="F152" s="6">
        <f>27248.1-200</f>
        <v>27048.1</v>
      </c>
    </row>
    <row r="153" spans="1:6" ht="63">
      <c r="A153" s="3" t="s">
        <v>182</v>
      </c>
      <c r="B153" s="4" t="s">
        <v>36</v>
      </c>
      <c r="C153" s="4" t="s">
        <v>9</v>
      </c>
      <c r="D153" s="101">
        <v>7950600</v>
      </c>
      <c r="E153" s="4"/>
      <c r="F153" s="6">
        <f>F154</f>
        <v>100</v>
      </c>
    </row>
    <row r="154" spans="1:6" ht="31.5">
      <c r="A154" s="3" t="s">
        <v>122</v>
      </c>
      <c r="B154" s="4" t="s">
        <v>36</v>
      </c>
      <c r="C154" s="4" t="s">
        <v>9</v>
      </c>
      <c r="D154" s="101">
        <v>7950600</v>
      </c>
      <c r="E154" s="4">
        <v>600</v>
      </c>
      <c r="F154" s="6">
        <v>100</v>
      </c>
    </row>
    <row r="155" spans="1:6" ht="63">
      <c r="A155" s="3" t="s">
        <v>213</v>
      </c>
      <c r="B155" s="4" t="s">
        <v>36</v>
      </c>
      <c r="C155" s="4" t="s">
        <v>9</v>
      </c>
      <c r="D155" s="4">
        <v>9934362</v>
      </c>
      <c r="E155" s="4"/>
      <c r="F155" s="6">
        <f>F156</f>
        <v>1.45</v>
      </c>
    </row>
    <row r="156" spans="1:6" ht="31.5">
      <c r="A156" s="3" t="s">
        <v>122</v>
      </c>
      <c r="B156" s="4" t="s">
        <v>36</v>
      </c>
      <c r="C156" s="4" t="s">
        <v>9</v>
      </c>
      <c r="D156" s="4">
        <v>9934362</v>
      </c>
      <c r="E156" s="4">
        <v>600</v>
      </c>
      <c r="F156" s="6">
        <v>1.45</v>
      </c>
    </row>
    <row r="157" spans="1:6" ht="15.75">
      <c r="A157" s="13" t="s">
        <v>60</v>
      </c>
      <c r="B157" s="14">
        <v>7</v>
      </c>
      <c r="C157" s="14">
        <v>7</v>
      </c>
      <c r="D157" s="15"/>
      <c r="E157" s="22"/>
      <c r="F157" s="6">
        <f>F158+F161+F164+F169</f>
        <v>18125.7</v>
      </c>
    </row>
    <row r="158" spans="1:6" ht="15.75">
      <c r="A158" s="13" t="s">
        <v>77</v>
      </c>
      <c r="B158" s="14">
        <v>7</v>
      </c>
      <c r="C158" s="14">
        <v>7</v>
      </c>
      <c r="D158" s="15">
        <v>4310000</v>
      </c>
      <c r="E158" s="22"/>
      <c r="F158" s="6">
        <f>F159</f>
        <v>775.5</v>
      </c>
    </row>
    <row r="159" spans="1:6" ht="47.25">
      <c r="A159" s="13" t="s">
        <v>176</v>
      </c>
      <c r="B159" s="14">
        <v>7</v>
      </c>
      <c r="C159" s="14">
        <v>7</v>
      </c>
      <c r="D159" s="15">
        <v>4310100</v>
      </c>
      <c r="E159" s="22"/>
      <c r="F159" s="6">
        <f>F160</f>
        <v>775.5</v>
      </c>
    </row>
    <row r="160" spans="1:6" ht="15.75">
      <c r="A160" s="13" t="s">
        <v>14</v>
      </c>
      <c r="B160" s="14">
        <v>7</v>
      </c>
      <c r="C160" s="14">
        <v>7</v>
      </c>
      <c r="D160" s="15">
        <v>4310100</v>
      </c>
      <c r="E160" s="22">
        <v>200</v>
      </c>
      <c r="F160" s="6">
        <v>775.5</v>
      </c>
    </row>
    <row r="161" spans="1:6" ht="31.5">
      <c r="A161" s="13" t="s">
        <v>78</v>
      </c>
      <c r="B161" s="14">
        <v>7</v>
      </c>
      <c r="C161" s="14">
        <v>7</v>
      </c>
      <c r="D161" s="15">
        <v>4320000</v>
      </c>
      <c r="E161" s="22"/>
      <c r="F161" s="6">
        <f>F162</f>
        <v>1311.2</v>
      </c>
    </row>
    <row r="162" spans="1:6" ht="15.75">
      <c r="A162" s="13" t="s">
        <v>61</v>
      </c>
      <c r="B162" s="14">
        <v>7</v>
      </c>
      <c r="C162" s="14">
        <v>7</v>
      </c>
      <c r="D162" s="15">
        <v>4320200</v>
      </c>
      <c r="E162" s="16"/>
      <c r="F162" s="6">
        <f>F163</f>
        <v>1311.2</v>
      </c>
    </row>
    <row r="163" spans="1:6" ht="15.75">
      <c r="A163" s="13" t="s">
        <v>27</v>
      </c>
      <c r="B163" s="4" t="s">
        <v>36</v>
      </c>
      <c r="C163" s="4" t="s">
        <v>36</v>
      </c>
      <c r="D163" s="4">
        <v>4320200</v>
      </c>
      <c r="E163" s="4">
        <v>600</v>
      </c>
      <c r="F163" s="6">
        <v>1311.2</v>
      </c>
    </row>
    <row r="164" spans="1:6" ht="15.75" customHeight="1">
      <c r="A164" s="13" t="s">
        <v>26</v>
      </c>
      <c r="B164" s="14">
        <v>7</v>
      </c>
      <c r="C164" s="14">
        <v>7</v>
      </c>
      <c r="D164" s="15">
        <v>4329900</v>
      </c>
      <c r="E164" s="16"/>
      <c r="F164" s="6">
        <f>F165+F166+F167+F168</f>
        <v>14048.800000000001</v>
      </c>
    </row>
    <row r="165" spans="1:6" ht="62.25" customHeight="1">
      <c r="A165" s="3" t="s">
        <v>117</v>
      </c>
      <c r="B165" s="4" t="s">
        <v>36</v>
      </c>
      <c r="C165" s="4" t="s">
        <v>36</v>
      </c>
      <c r="D165" s="4" t="s">
        <v>131</v>
      </c>
      <c r="E165" s="4">
        <v>100</v>
      </c>
      <c r="F165" s="6">
        <v>2486.5</v>
      </c>
    </row>
    <row r="166" spans="1:6" ht="31.5">
      <c r="A166" s="3" t="s">
        <v>118</v>
      </c>
      <c r="B166" s="4" t="s">
        <v>36</v>
      </c>
      <c r="C166" s="4" t="s">
        <v>36</v>
      </c>
      <c r="D166" s="4" t="s">
        <v>131</v>
      </c>
      <c r="E166" s="4">
        <v>200</v>
      </c>
      <c r="F166" s="6">
        <f>750.8-41.25</f>
        <v>709.55</v>
      </c>
    </row>
    <row r="167" spans="1:6" ht="31.5">
      <c r="A167" s="3" t="s">
        <v>122</v>
      </c>
      <c r="B167" s="4" t="s">
        <v>36</v>
      </c>
      <c r="C167" s="4" t="s">
        <v>36</v>
      </c>
      <c r="D167" s="4" t="s">
        <v>131</v>
      </c>
      <c r="E167" s="4">
        <v>600</v>
      </c>
      <c r="F167" s="6">
        <v>10769.6</v>
      </c>
    </row>
    <row r="168" spans="1:6" ht="15.75">
      <c r="A168" s="3" t="s">
        <v>120</v>
      </c>
      <c r="B168" s="4" t="s">
        <v>36</v>
      </c>
      <c r="C168" s="4" t="s">
        <v>36</v>
      </c>
      <c r="D168" s="4" t="s">
        <v>131</v>
      </c>
      <c r="E168" s="4">
        <v>800</v>
      </c>
      <c r="F168" s="6">
        <f>9+32.9+41.25</f>
        <v>83.15</v>
      </c>
    </row>
    <row r="169" spans="1:6" ht="31.5">
      <c r="A169" s="3" t="s">
        <v>177</v>
      </c>
      <c r="B169" s="4" t="s">
        <v>36</v>
      </c>
      <c r="C169" s="4" t="s">
        <v>36</v>
      </c>
      <c r="D169" s="101">
        <v>7950200</v>
      </c>
      <c r="E169" s="67"/>
      <c r="F169" s="6">
        <f>F170</f>
        <v>1990.2</v>
      </c>
    </row>
    <row r="170" spans="1:6" ht="31.5">
      <c r="A170" s="3" t="s">
        <v>122</v>
      </c>
      <c r="B170" s="4" t="s">
        <v>36</v>
      </c>
      <c r="C170" s="4" t="s">
        <v>36</v>
      </c>
      <c r="D170" s="101">
        <v>7950200</v>
      </c>
      <c r="E170" s="4">
        <v>600</v>
      </c>
      <c r="F170" s="6">
        <v>1990.2</v>
      </c>
    </row>
    <row r="171" spans="1:6" ht="15.75">
      <c r="A171" s="13" t="s">
        <v>79</v>
      </c>
      <c r="B171" s="14">
        <v>7</v>
      </c>
      <c r="C171" s="14">
        <v>9</v>
      </c>
      <c r="D171" s="21"/>
      <c r="E171" s="16"/>
      <c r="F171" s="6">
        <f>F175+F181+F172</f>
        <v>60401.55</v>
      </c>
    </row>
    <row r="172" spans="1:6" ht="47.25">
      <c r="A172" s="3" t="s">
        <v>105</v>
      </c>
      <c r="B172" s="4" t="s">
        <v>36</v>
      </c>
      <c r="C172" s="4" t="s">
        <v>35</v>
      </c>
      <c r="D172" s="5" t="s">
        <v>215</v>
      </c>
      <c r="E172" s="4"/>
      <c r="F172" s="19">
        <f>F174+F173</f>
        <v>4684.4</v>
      </c>
    </row>
    <row r="173" spans="1:6" ht="62.25" customHeight="1">
      <c r="A173" s="3" t="s">
        <v>117</v>
      </c>
      <c r="B173" s="4" t="s">
        <v>36</v>
      </c>
      <c r="C173" s="4" t="s">
        <v>35</v>
      </c>
      <c r="D173" s="5" t="s">
        <v>215</v>
      </c>
      <c r="E173" s="4">
        <v>100</v>
      </c>
      <c r="F173" s="6">
        <v>3722.4</v>
      </c>
    </row>
    <row r="174" spans="1:6" ht="31.5">
      <c r="A174" s="3" t="s">
        <v>118</v>
      </c>
      <c r="B174" s="4" t="s">
        <v>36</v>
      </c>
      <c r="C174" s="4" t="s">
        <v>35</v>
      </c>
      <c r="D174" s="5" t="s">
        <v>215</v>
      </c>
      <c r="E174" s="4">
        <v>200</v>
      </c>
      <c r="F174" s="6">
        <v>962</v>
      </c>
    </row>
    <row r="175" spans="1:6" ht="31.5">
      <c r="A175" s="13" t="s">
        <v>62</v>
      </c>
      <c r="B175" s="14">
        <v>7</v>
      </c>
      <c r="C175" s="20">
        <v>9</v>
      </c>
      <c r="D175" s="21">
        <v>4350000</v>
      </c>
      <c r="E175" s="16"/>
      <c r="F175" s="6">
        <f>F176</f>
        <v>28943.45</v>
      </c>
    </row>
    <row r="176" spans="1:6" ht="31.5">
      <c r="A176" s="13" t="s">
        <v>175</v>
      </c>
      <c r="B176" s="14">
        <v>7</v>
      </c>
      <c r="C176" s="20">
        <v>9</v>
      </c>
      <c r="D176" s="21">
        <v>4359900</v>
      </c>
      <c r="E176" s="22"/>
      <c r="F176" s="6">
        <f>F177+F178+F179+F180</f>
        <v>28943.45</v>
      </c>
    </row>
    <row r="177" spans="1:6" ht="62.25" customHeight="1">
      <c r="A177" s="3" t="s">
        <v>117</v>
      </c>
      <c r="B177" s="4" t="s">
        <v>36</v>
      </c>
      <c r="C177" s="4" t="s">
        <v>35</v>
      </c>
      <c r="D177" s="4" t="s">
        <v>132</v>
      </c>
      <c r="E177" s="4">
        <v>100</v>
      </c>
      <c r="F177" s="6">
        <f>2993.9+261.8</f>
        <v>3255.7000000000003</v>
      </c>
    </row>
    <row r="178" spans="1:6" ht="31.5">
      <c r="A178" s="3" t="s">
        <v>118</v>
      </c>
      <c r="B178" s="4" t="s">
        <v>36</v>
      </c>
      <c r="C178" s="4" t="s">
        <v>35</v>
      </c>
      <c r="D178" s="4" t="s">
        <v>132</v>
      </c>
      <c r="E178" s="4">
        <v>200</v>
      </c>
      <c r="F178" s="6">
        <f>7660.1-147.37-533.75-20</f>
        <v>6958.9800000000005</v>
      </c>
    </row>
    <row r="179" spans="1:6" ht="31.5">
      <c r="A179" s="3" t="s">
        <v>122</v>
      </c>
      <c r="B179" s="4" t="s">
        <v>36</v>
      </c>
      <c r="C179" s="4" t="s">
        <v>35</v>
      </c>
      <c r="D179" s="4" t="s">
        <v>132</v>
      </c>
      <c r="E179" s="4">
        <v>600</v>
      </c>
      <c r="F179" s="6">
        <f>1981.9+14904.5+960.2</f>
        <v>17846.600000000002</v>
      </c>
    </row>
    <row r="180" spans="1:6" ht="15.75">
      <c r="A180" s="3" t="s">
        <v>120</v>
      </c>
      <c r="B180" s="4" t="s">
        <v>36</v>
      </c>
      <c r="C180" s="4" t="s">
        <v>35</v>
      </c>
      <c r="D180" s="4" t="s">
        <v>132</v>
      </c>
      <c r="E180" s="4">
        <v>800</v>
      </c>
      <c r="F180" s="6">
        <f>0.4+734.4+147.37</f>
        <v>882.17</v>
      </c>
    </row>
    <row r="181" spans="1:6" ht="63">
      <c r="A181" s="13" t="s">
        <v>80</v>
      </c>
      <c r="B181" s="14">
        <v>7</v>
      </c>
      <c r="C181" s="20">
        <v>9</v>
      </c>
      <c r="D181" s="21">
        <v>4520000</v>
      </c>
      <c r="E181" s="22"/>
      <c r="F181" s="6">
        <f>F182</f>
        <v>26773.7</v>
      </c>
    </row>
    <row r="182" spans="1:6" ht="15.75" customHeight="1">
      <c r="A182" s="13" t="s">
        <v>26</v>
      </c>
      <c r="B182" s="14">
        <v>7</v>
      </c>
      <c r="C182" s="14">
        <v>9</v>
      </c>
      <c r="D182" s="15">
        <v>4529900</v>
      </c>
      <c r="E182" s="16"/>
      <c r="F182" s="6">
        <f>F184+F183+F185</f>
        <v>26773.7</v>
      </c>
    </row>
    <row r="183" spans="1:6" ht="62.25" customHeight="1">
      <c r="A183" s="3" t="s">
        <v>117</v>
      </c>
      <c r="B183" s="5" t="s">
        <v>36</v>
      </c>
      <c r="C183" s="5" t="s">
        <v>35</v>
      </c>
      <c r="D183" s="4">
        <v>4529900</v>
      </c>
      <c r="E183" s="4">
        <v>100</v>
      </c>
      <c r="F183" s="6">
        <f>13679.2+16+4131.1+1838.8+1.11</f>
        <v>19666.210000000003</v>
      </c>
    </row>
    <row r="184" spans="1:6" ht="31.5">
      <c r="A184" s="3" t="s">
        <v>118</v>
      </c>
      <c r="B184" s="5" t="s">
        <v>36</v>
      </c>
      <c r="C184" s="5" t="s">
        <v>35</v>
      </c>
      <c r="D184" s="4">
        <v>4529900</v>
      </c>
      <c r="E184" s="4">
        <v>200</v>
      </c>
      <c r="F184" s="6">
        <f>3105.7+4000-2.45-1.11</f>
        <v>7102.14</v>
      </c>
    </row>
    <row r="185" spans="1:6" ht="15.75">
      <c r="A185" s="3" t="s">
        <v>120</v>
      </c>
      <c r="B185" s="5" t="s">
        <v>36</v>
      </c>
      <c r="C185" s="5" t="s">
        <v>35</v>
      </c>
      <c r="D185" s="4">
        <v>4529900</v>
      </c>
      <c r="E185" s="4">
        <v>800</v>
      </c>
      <c r="F185" s="6">
        <f>2.9+2.45</f>
        <v>5.35</v>
      </c>
    </row>
    <row r="186" spans="1:8" ht="15.75">
      <c r="A186" s="33" t="s">
        <v>81</v>
      </c>
      <c r="B186" s="34">
        <v>8</v>
      </c>
      <c r="C186" s="34"/>
      <c r="D186" s="43"/>
      <c r="E186" s="44"/>
      <c r="F186" s="45">
        <f>F187+F203</f>
        <v>90643.4</v>
      </c>
      <c r="G186" s="58">
        <v>65143.4</v>
      </c>
      <c r="H186" s="69">
        <f>G186-F186</f>
        <v>-25499.999999999993</v>
      </c>
    </row>
    <row r="187" spans="1:6" ht="15.75">
      <c r="A187" s="13" t="s">
        <v>98</v>
      </c>
      <c r="B187" s="14">
        <v>8</v>
      </c>
      <c r="C187" s="14">
        <v>1</v>
      </c>
      <c r="D187" s="15"/>
      <c r="E187" s="16"/>
      <c r="F187" s="6">
        <f>F192+F190+F188</f>
        <v>86549.2</v>
      </c>
    </row>
    <row r="188" spans="1:6" ht="31.5" customHeight="1">
      <c r="A188" s="3" t="s">
        <v>216</v>
      </c>
      <c r="B188" s="4" t="s">
        <v>33</v>
      </c>
      <c r="C188" s="4" t="s">
        <v>8</v>
      </c>
      <c r="D188" s="5" t="s">
        <v>217</v>
      </c>
      <c r="E188" s="16"/>
      <c r="F188" s="6">
        <f>F189</f>
        <v>2000</v>
      </c>
    </row>
    <row r="189" spans="1:6" ht="31.5">
      <c r="A189" s="3" t="s">
        <v>118</v>
      </c>
      <c r="B189" s="4" t="s">
        <v>33</v>
      </c>
      <c r="C189" s="4" t="s">
        <v>8</v>
      </c>
      <c r="D189" s="5" t="s">
        <v>217</v>
      </c>
      <c r="E189" s="4">
        <v>200</v>
      </c>
      <c r="F189" s="6">
        <v>2000</v>
      </c>
    </row>
    <row r="190" spans="1:6" ht="47.25">
      <c r="A190" s="3" t="s">
        <v>190</v>
      </c>
      <c r="B190" s="4" t="s">
        <v>33</v>
      </c>
      <c r="C190" s="4" t="s">
        <v>8</v>
      </c>
      <c r="D190" s="5" t="s">
        <v>191</v>
      </c>
      <c r="E190" s="4"/>
      <c r="F190" s="6">
        <f>F191</f>
        <v>27.8</v>
      </c>
    </row>
    <row r="191" spans="1:6" ht="31.5">
      <c r="A191" s="3" t="s">
        <v>122</v>
      </c>
      <c r="B191" s="4" t="s">
        <v>33</v>
      </c>
      <c r="C191" s="4" t="s">
        <v>8</v>
      </c>
      <c r="D191" s="5" t="s">
        <v>191</v>
      </c>
      <c r="E191" s="4">
        <v>600</v>
      </c>
      <c r="F191" s="6">
        <v>27.8</v>
      </c>
    </row>
    <row r="192" spans="1:6" ht="31.5">
      <c r="A192" s="13" t="s">
        <v>28</v>
      </c>
      <c r="B192" s="14">
        <v>8</v>
      </c>
      <c r="C192" s="14">
        <v>1</v>
      </c>
      <c r="D192" s="15">
        <v>4400000</v>
      </c>
      <c r="E192" s="16"/>
      <c r="F192" s="6">
        <f>F193+F195+F200</f>
        <v>84521.4</v>
      </c>
    </row>
    <row r="193" spans="1:6" ht="31.5">
      <c r="A193" s="3" t="s">
        <v>115</v>
      </c>
      <c r="B193" s="4" t="s">
        <v>33</v>
      </c>
      <c r="C193" s="4" t="s">
        <v>8</v>
      </c>
      <c r="D193" s="4">
        <v>4400201</v>
      </c>
      <c r="E193" s="4"/>
      <c r="F193" s="6">
        <f>F194</f>
        <v>43</v>
      </c>
    </row>
    <row r="194" spans="1:6" ht="31.5">
      <c r="A194" s="3" t="s">
        <v>122</v>
      </c>
      <c r="B194" s="4" t="s">
        <v>33</v>
      </c>
      <c r="C194" s="4" t="s">
        <v>8</v>
      </c>
      <c r="D194" s="4">
        <v>4400201</v>
      </c>
      <c r="E194" s="4">
        <v>600</v>
      </c>
      <c r="F194" s="6">
        <v>43</v>
      </c>
    </row>
    <row r="195" spans="1:6" ht="31.5">
      <c r="A195" s="13" t="s">
        <v>179</v>
      </c>
      <c r="B195" s="14">
        <v>8</v>
      </c>
      <c r="C195" s="14">
        <v>1</v>
      </c>
      <c r="D195" s="15">
        <v>4409900</v>
      </c>
      <c r="E195" s="16"/>
      <c r="F195" s="6">
        <f>F196+F197+F198+F199</f>
        <v>66816</v>
      </c>
    </row>
    <row r="196" spans="1:6" ht="62.25" customHeight="1">
      <c r="A196" s="3" t="s">
        <v>117</v>
      </c>
      <c r="B196" s="4" t="s">
        <v>33</v>
      </c>
      <c r="C196" s="4" t="s">
        <v>8</v>
      </c>
      <c r="D196" s="4" t="s">
        <v>121</v>
      </c>
      <c r="E196" s="4">
        <v>100</v>
      </c>
      <c r="F196" s="6">
        <v>1480.2</v>
      </c>
    </row>
    <row r="197" spans="1:6" ht="31.5">
      <c r="A197" s="3" t="s">
        <v>118</v>
      </c>
      <c r="B197" s="4" t="s">
        <v>33</v>
      </c>
      <c r="C197" s="4" t="s">
        <v>8</v>
      </c>
      <c r="D197" s="4" t="s">
        <v>121</v>
      </c>
      <c r="E197" s="4">
        <v>200</v>
      </c>
      <c r="F197" s="6">
        <f>1074.9-7.57+25500</f>
        <v>26567.33</v>
      </c>
    </row>
    <row r="198" spans="1:6" ht="31.5">
      <c r="A198" s="3" t="s">
        <v>122</v>
      </c>
      <c r="B198" s="4" t="s">
        <v>33</v>
      </c>
      <c r="C198" s="4" t="s">
        <v>8</v>
      </c>
      <c r="D198" s="4" t="s">
        <v>121</v>
      </c>
      <c r="E198" s="4">
        <v>600</v>
      </c>
      <c r="F198" s="6">
        <v>38691.8</v>
      </c>
    </row>
    <row r="199" spans="1:6" ht="15.75">
      <c r="A199" s="3" t="s">
        <v>120</v>
      </c>
      <c r="B199" s="4" t="s">
        <v>33</v>
      </c>
      <c r="C199" s="4" t="s">
        <v>8</v>
      </c>
      <c r="D199" s="4" t="s">
        <v>121</v>
      </c>
      <c r="E199" s="4">
        <v>800</v>
      </c>
      <c r="F199" s="6">
        <f>1+68.1+7.57</f>
        <v>76.66999999999999</v>
      </c>
    </row>
    <row r="200" spans="1:6" ht="15.75">
      <c r="A200" s="32" t="s">
        <v>108</v>
      </c>
      <c r="B200" s="10" t="s">
        <v>33</v>
      </c>
      <c r="C200" s="10" t="s">
        <v>8</v>
      </c>
      <c r="D200" s="10" t="s">
        <v>109</v>
      </c>
      <c r="E200" s="10"/>
      <c r="F200" s="19">
        <f>F201</f>
        <v>17662.4</v>
      </c>
    </row>
    <row r="201" spans="1:6" ht="31.5">
      <c r="A201" s="3" t="s">
        <v>180</v>
      </c>
      <c r="B201" s="10" t="s">
        <v>33</v>
      </c>
      <c r="C201" s="10" t="s">
        <v>8</v>
      </c>
      <c r="D201" s="10" t="s">
        <v>110</v>
      </c>
      <c r="E201" s="10"/>
      <c r="F201" s="19">
        <f>F202</f>
        <v>17662.4</v>
      </c>
    </row>
    <row r="202" spans="1:6" ht="31.5">
      <c r="A202" s="3" t="s">
        <v>122</v>
      </c>
      <c r="B202" s="10" t="s">
        <v>33</v>
      </c>
      <c r="C202" s="10" t="s">
        <v>8</v>
      </c>
      <c r="D202" s="10" t="s">
        <v>110</v>
      </c>
      <c r="E202" s="4">
        <v>600</v>
      </c>
      <c r="F202" s="6">
        <v>17662.4</v>
      </c>
    </row>
    <row r="203" spans="1:6" ht="15.75">
      <c r="A203" s="13" t="s">
        <v>82</v>
      </c>
      <c r="B203" s="20">
        <v>8</v>
      </c>
      <c r="C203" s="20">
        <v>2</v>
      </c>
      <c r="D203" s="21"/>
      <c r="E203" s="22"/>
      <c r="F203" s="19">
        <f>F204</f>
        <v>4094.2</v>
      </c>
    </row>
    <row r="204" spans="1:6" ht="31.5">
      <c r="A204" s="3" t="s">
        <v>28</v>
      </c>
      <c r="B204" s="4" t="s">
        <v>33</v>
      </c>
      <c r="C204" s="4" t="s">
        <v>9</v>
      </c>
      <c r="D204" s="4">
        <v>4400000</v>
      </c>
      <c r="E204" s="7"/>
      <c r="F204" s="19">
        <f>F205</f>
        <v>4094.2</v>
      </c>
    </row>
    <row r="205" spans="1:6" ht="32.25" customHeight="1">
      <c r="A205" s="3" t="s">
        <v>178</v>
      </c>
      <c r="B205" s="4" t="s">
        <v>33</v>
      </c>
      <c r="C205" s="4" t="s">
        <v>9</v>
      </c>
      <c r="D205" s="9">
        <v>4400100</v>
      </c>
      <c r="E205" s="4"/>
      <c r="F205" s="19">
        <f>F206</f>
        <v>4094.2</v>
      </c>
    </row>
    <row r="206" spans="1:6" ht="31.5">
      <c r="A206" s="3" t="s">
        <v>122</v>
      </c>
      <c r="B206" s="4" t="s">
        <v>33</v>
      </c>
      <c r="C206" s="4" t="s">
        <v>9</v>
      </c>
      <c r="D206" s="9">
        <v>4400100</v>
      </c>
      <c r="E206" s="4">
        <v>600</v>
      </c>
      <c r="F206" s="6">
        <v>4094.2</v>
      </c>
    </row>
    <row r="207" spans="1:8" ht="16.5">
      <c r="A207" s="59" t="s">
        <v>97</v>
      </c>
      <c r="B207" s="60">
        <v>9</v>
      </c>
      <c r="C207" s="60"/>
      <c r="D207" s="61"/>
      <c r="E207" s="62"/>
      <c r="F207" s="63">
        <f>F208</f>
        <v>1058.8</v>
      </c>
      <c r="G207" s="58">
        <v>1058.8</v>
      </c>
      <c r="H207" s="69">
        <f>G207-F207</f>
        <v>0</v>
      </c>
    </row>
    <row r="208" spans="1:6" ht="15.75">
      <c r="A208" s="3" t="s">
        <v>99</v>
      </c>
      <c r="B208" s="4" t="s">
        <v>35</v>
      </c>
      <c r="C208" s="4" t="s">
        <v>36</v>
      </c>
      <c r="D208" s="4"/>
      <c r="E208" s="4"/>
      <c r="F208" s="6">
        <f>F209</f>
        <v>1058.8</v>
      </c>
    </row>
    <row r="209" spans="1:6" ht="141.75">
      <c r="A209" s="64" t="s">
        <v>192</v>
      </c>
      <c r="B209" s="4" t="s">
        <v>35</v>
      </c>
      <c r="C209" s="4" t="s">
        <v>36</v>
      </c>
      <c r="D209" s="5" t="s">
        <v>193</v>
      </c>
      <c r="E209" s="7"/>
      <c r="F209" s="6">
        <f>F210</f>
        <v>1058.8</v>
      </c>
    </row>
    <row r="210" spans="1:6" ht="31.5">
      <c r="A210" s="3" t="s">
        <v>118</v>
      </c>
      <c r="B210" s="4" t="s">
        <v>35</v>
      </c>
      <c r="C210" s="4" t="s">
        <v>36</v>
      </c>
      <c r="D210" s="5" t="s">
        <v>193</v>
      </c>
      <c r="E210" s="4">
        <v>200</v>
      </c>
      <c r="F210" s="19">
        <v>1058.8</v>
      </c>
    </row>
    <row r="211" spans="1:8" ht="15.75">
      <c r="A211" s="33" t="s">
        <v>37</v>
      </c>
      <c r="B211" s="46">
        <v>10</v>
      </c>
      <c r="C211" s="46"/>
      <c r="D211" s="47"/>
      <c r="E211" s="48"/>
      <c r="F211" s="38">
        <f>F212+F216+F224</f>
        <v>37717.2</v>
      </c>
      <c r="G211" s="58">
        <v>37249.2</v>
      </c>
      <c r="H211" s="69">
        <f>G211-F211</f>
        <v>-468</v>
      </c>
    </row>
    <row r="212" spans="1:6" ht="15.75">
      <c r="A212" s="13" t="s">
        <v>48</v>
      </c>
      <c r="B212" s="14">
        <v>10</v>
      </c>
      <c r="C212" s="14">
        <v>1</v>
      </c>
      <c r="D212" s="15"/>
      <c r="E212" s="16"/>
      <c r="F212" s="19">
        <f>F213</f>
        <v>1207</v>
      </c>
    </row>
    <row r="213" spans="1:6" ht="31.5">
      <c r="A213" s="13" t="s">
        <v>83</v>
      </c>
      <c r="B213" s="14">
        <v>10</v>
      </c>
      <c r="C213" s="14">
        <v>1</v>
      </c>
      <c r="D213" s="15">
        <v>4910000</v>
      </c>
      <c r="E213" s="16"/>
      <c r="F213" s="19">
        <f>F214</f>
        <v>1207</v>
      </c>
    </row>
    <row r="214" spans="1:6" ht="31.5">
      <c r="A214" s="13" t="s">
        <v>84</v>
      </c>
      <c r="B214" s="14">
        <v>10</v>
      </c>
      <c r="C214" s="14">
        <v>1</v>
      </c>
      <c r="D214" s="15">
        <v>4910100</v>
      </c>
      <c r="E214" s="16"/>
      <c r="F214" s="19">
        <f>F215</f>
        <v>1207</v>
      </c>
    </row>
    <row r="215" spans="1:6" ht="15.75">
      <c r="A215" s="3" t="s">
        <v>133</v>
      </c>
      <c r="B215" s="14">
        <v>10</v>
      </c>
      <c r="C215" s="14">
        <v>1</v>
      </c>
      <c r="D215" s="15">
        <v>4910100</v>
      </c>
      <c r="E215" s="5" t="s">
        <v>134</v>
      </c>
      <c r="F215" s="6">
        <v>1207</v>
      </c>
    </row>
    <row r="216" spans="1:6" ht="15.75">
      <c r="A216" s="13" t="s">
        <v>38</v>
      </c>
      <c r="B216" s="20">
        <v>10</v>
      </c>
      <c r="C216" s="20">
        <v>3</v>
      </c>
      <c r="D216" s="21"/>
      <c r="E216" s="22"/>
      <c r="F216" s="19">
        <f>F217+F220</f>
        <v>11020.9</v>
      </c>
    </row>
    <row r="217" spans="1:6" ht="15.75">
      <c r="A217" s="13" t="s">
        <v>64</v>
      </c>
      <c r="B217" s="20">
        <v>10</v>
      </c>
      <c r="C217" s="20">
        <v>3</v>
      </c>
      <c r="D217" s="21">
        <v>5050000</v>
      </c>
      <c r="E217" s="22"/>
      <c r="F217" s="19">
        <f>F218</f>
        <v>10402.9</v>
      </c>
    </row>
    <row r="218" spans="1:6" ht="15.75">
      <c r="A218" s="13" t="s">
        <v>41</v>
      </c>
      <c r="B218" s="20">
        <v>10</v>
      </c>
      <c r="C218" s="20">
        <v>3</v>
      </c>
      <c r="D218" s="21">
        <v>5058500</v>
      </c>
      <c r="E218" s="22"/>
      <c r="F218" s="19">
        <f>F219</f>
        <v>10402.9</v>
      </c>
    </row>
    <row r="219" spans="1:6" ht="15.75">
      <c r="A219" s="3" t="s">
        <v>133</v>
      </c>
      <c r="B219" s="4" t="s">
        <v>114</v>
      </c>
      <c r="C219" s="4" t="s">
        <v>15</v>
      </c>
      <c r="D219" s="10" t="s">
        <v>135</v>
      </c>
      <c r="E219" s="5" t="s">
        <v>134</v>
      </c>
      <c r="F219" s="6">
        <v>10402.9</v>
      </c>
    </row>
    <row r="220" spans="1:6" ht="31.5">
      <c r="A220" s="13" t="s">
        <v>39</v>
      </c>
      <c r="B220" s="20">
        <v>10</v>
      </c>
      <c r="C220" s="20">
        <v>3</v>
      </c>
      <c r="D220" s="21">
        <v>5140000</v>
      </c>
      <c r="E220" s="22"/>
      <c r="F220" s="19">
        <f>F221</f>
        <v>618</v>
      </c>
    </row>
    <row r="221" spans="1:6" ht="15.75">
      <c r="A221" s="13" t="s">
        <v>40</v>
      </c>
      <c r="B221" s="20">
        <v>10</v>
      </c>
      <c r="C221" s="20">
        <v>3</v>
      </c>
      <c r="D221" s="21">
        <v>5140100</v>
      </c>
      <c r="E221" s="22"/>
      <c r="F221" s="19">
        <f>F223+F222</f>
        <v>618</v>
      </c>
    </row>
    <row r="222" spans="1:6" ht="31.5">
      <c r="A222" s="13" t="s">
        <v>118</v>
      </c>
      <c r="B222" s="20">
        <v>10</v>
      </c>
      <c r="C222" s="20">
        <v>3</v>
      </c>
      <c r="D222" s="21">
        <v>5140100</v>
      </c>
      <c r="E222" s="22">
        <v>200</v>
      </c>
      <c r="F222" s="19">
        <v>468</v>
      </c>
    </row>
    <row r="223" spans="1:9" ht="31.5">
      <c r="A223" s="3" t="s">
        <v>122</v>
      </c>
      <c r="B223" s="20">
        <v>10</v>
      </c>
      <c r="C223" s="20">
        <v>3</v>
      </c>
      <c r="D223" s="21">
        <v>5140100</v>
      </c>
      <c r="E223" s="4">
        <v>600</v>
      </c>
      <c r="F223" s="6">
        <v>150</v>
      </c>
      <c r="I223" s="69"/>
    </row>
    <row r="224" spans="1:9" ht="15.75">
      <c r="A224" s="3" t="s">
        <v>136</v>
      </c>
      <c r="B224" s="4">
        <v>10</v>
      </c>
      <c r="C224" s="5" t="s">
        <v>96</v>
      </c>
      <c r="D224" s="10"/>
      <c r="E224" s="5"/>
      <c r="F224" s="6">
        <f>F225</f>
        <v>25489.3</v>
      </c>
      <c r="I224" s="69"/>
    </row>
    <row r="225" spans="1:9" ht="63">
      <c r="A225" s="3" t="s">
        <v>137</v>
      </c>
      <c r="B225" s="4">
        <v>10</v>
      </c>
      <c r="C225" s="5" t="s">
        <v>96</v>
      </c>
      <c r="D225" s="10" t="s">
        <v>138</v>
      </c>
      <c r="E225" s="5"/>
      <c r="F225" s="6">
        <f>F227+F226</f>
        <v>25489.3</v>
      </c>
      <c r="I225" s="69"/>
    </row>
    <row r="226" spans="1:9" ht="31.5">
      <c r="A226" s="3" t="s">
        <v>118</v>
      </c>
      <c r="B226" s="4">
        <v>10</v>
      </c>
      <c r="C226" s="5" t="s">
        <v>96</v>
      </c>
      <c r="D226" s="10" t="s">
        <v>138</v>
      </c>
      <c r="E226" s="5" t="s">
        <v>218</v>
      </c>
      <c r="F226" s="6">
        <v>1.07</v>
      </c>
      <c r="I226" s="69"/>
    </row>
    <row r="227" spans="1:9" ht="15.75">
      <c r="A227" s="3" t="s">
        <v>133</v>
      </c>
      <c r="B227" s="4">
        <v>10</v>
      </c>
      <c r="C227" s="5" t="s">
        <v>96</v>
      </c>
      <c r="D227" s="10" t="s">
        <v>138</v>
      </c>
      <c r="E227" s="5" t="s">
        <v>134</v>
      </c>
      <c r="F227" s="6">
        <f>25489.3-1.07</f>
        <v>25488.23</v>
      </c>
      <c r="I227" s="69"/>
    </row>
    <row r="228" spans="1:8" ht="15.75">
      <c r="A228" s="49" t="s">
        <v>42</v>
      </c>
      <c r="B228" s="50">
        <v>11</v>
      </c>
      <c r="C228" s="50"/>
      <c r="D228" s="41"/>
      <c r="E228" s="51"/>
      <c r="F228" s="52">
        <f>F229</f>
        <v>5571.4</v>
      </c>
      <c r="G228" s="58">
        <v>6039.4</v>
      </c>
      <c r="H228" s="69">
        <f>G228-F228</f>
        <v>468</v>
      </c>
    </row>
    <row r="229" spans="1:6" ht="15.75">
      <c r="A229" s="3" t="s">
        <v>88</v>
      </c>
      <c r="B229" s="4">
        <v>11</v>
      </c>
      <c r="C229" s="4" t="s">
        <v>9</v>
      </c>
      <c r="D229" s="25"/>
      <c r="E229" s="16"/>
      <c r="F229" s="19">
        <f>F230</f>
        <v>5571.4</v>
      </c>
    </row>
    <row r="230" spans="1:6" ht="31.5">
      <c r="A230" s="13" t="s">
        <v>85</v>
      </c>
      <c r="B230" s="24">
        <v>11</v>
      </c>
      <c r="C230" s="56" t="s">
        <v>9</v>
      </c>
      <c r="D230" s="25">
        <v>5120000</v>
      </c>
      <c r="E230" s="16"/>
      <c r="F230" s="19">
        <f>F231</f>
        <v>5571.4</v>
      </c>
    </row>
    <row r="231" spans="1:6" ht="31.5">
      <c r="A231" s="13" t="s">
        <v>86</v>
      </c>
      <c r="B231" s="24">
        <v>11</v>
      </c>
      <c r="C231" s="56" t="s">
        <v>9</v>
      </c>
      <c r="D231" s="25">
        <v>5129700</v>
      </c>
      <c r="E231" s="26"/>
      <c r="F231" s="19">
        <f>F232</f>
        <v>5571.4</v>
      </c>
    </row>
    <row r="232" spans="1:6" ht="31.5">
      <c r="A232" s="3" t="s">
        <v>118</v>
      </c>
      <c r="B232" s="24">
        <v>11</v>
      </c>
      <c r="C232" s="56" t="s">
        <v>9</v>
      </c>
      <c r="D232" s="25">
        <v>5129700</v>
      </c>
      <c r="E232" s="56">
        <v>200</v>
      </c>
      <c r="F232" s="19">
        <f>6039.4-397-468+397</f>
        <v>5571.4</v>
      </c>
    </row>
    <row r="233" spans="1:8" ht="15.75">
      <c r="A233" s="49" t="s">
        <v>165</v>
      </c>
      <c r="B233" s="104">
        <v>12</v>
      </c>
      <c r="C233" s="104"/>
      <c r="D233" s="105"/>
      <c r="E233" s="106"/>
      <c r="F233" s="52">
        <f>F234</f>
        <v>4000</v>
      </c>
      <c r="G233" s="103">
        <v>1000</v>
      </c>
      <c r="H233" s="69">
        <f>G233-F233</f>
        <v>-3000</v>
      </c>
    </row>
    <row r="234" spans="1:6" ht="15.75">
      <c r="A234" s="3" t="s">
        <v>166</v>
      </c>
      <c r="B234" s="4">
        <v>12</v>
      </c>
      <c r="C234" s="5" t="s">
        <v>8</v>
      </c>
      <c r="D234" s="4"/>
      <c r="E234" s="7"/>
      <c r="F234" s="19">
        <f>F235</f>
        <v>4000</v>
      </c>
    </row>
    <row r="235" spans="1:6" ht="15.75">
      <c r="A235" s="3" t="s">
        <v>167</v>
      </c>
      <c r="B235" s="4">
        <v>12</v>
      </c>
      <c r="C235" s="5" t="s">
        <v>8</v>
      </c>
      <c r="D235" s="9">
        <v>4530000</v>
      </c>
      <c r="E235" s="4"/>
      <c r="F235" s="19">
        <f>F236</f>
        <v>4000</v>
      </c>
    </row>
    <row r="236" spans="1:6" ht="15.75">
      <c r="A236" s="3" t="s">
        <v>168</v>
      </c>
      <c r="B236" s="4">
        <v>12</v>
      </c>
      <c r="C236" s="5" t="s">
        <v>8</v>
      </c>
      <c r="D236" s="9">
        <v>4530100</v>
      </c>
      <c r="E236" s="4"/>
      <c r="F236" s="19">
        <f>F237</f>
        <v>4000</v>
      </c>
    </row>
    <row r="237" spans="1:6" ht="31.5">
      <c r="A237" s="3" t="s">
        <v>122</v>
      </c>
      <c r="B237" s="107">
        <v>12</v>
      </c>
      <c r="C237" s="108" t="s">
        <v>8</v>
      </c>
      <c r="D237" s="109">
        <v>4530100</v>
      </c>
      <c r="E237" s="4">
        <v>600</v>
      </c>
      <c r="F237" s="19">
        <f>1000+3000</f>
        <v>4000</v>
      </c>
    </row>
    <row r="238" spans="1:8" ht="31.5">
      <c r="A238" s="33" t="s">
        <v>49</v>
      </c>
      <c r="B238" s="34">
        <v>14</v>
      </c>
      <c r="C238" s="34"/>
      <c r="D238" s="43"/>
      <c r="E238" s="44"/>
      <c r="F238" s="45">
        <f>F239+F245</f>
        <v>35289.6</v>
      </c>
      <c r="G238" s="58">
        <v>33768.2</v>
      </c>
      <c r="H238" s="69">
        <f>G238-F238</f>
        <v>-1521.4000000000015</v>
      </c>
    </row>
    <row r="239" spans="1:6" ht="31.5">
      <c r="A239" s="3" t="s">
        <v>149</v>
      </c>
      <c r="B239" s="4">
        <v>14</v>
      </c>
      <c r="C239" s="4" t="s">
        <v>8</v>
      </c>
      <c r="D239" s="4"/>
      <c r="E239" s="4"/>
      <c r="F239" s="17">
        <f>F240</f>
        <v>28171.5</v>
      </c>
    </row>
    <row r="240" spans="1:6" ht="15.75">
      <c r="A240" s="3" t="s">
        <v>50</v>
      </c>
      <c r="B240" s="4">
        <v>14</v>
      </c>
      <c r="C240" s="4" t="s">
        <v>8</v>
      </c>
      <c r="D240" s="4">
        <v>5160000</v>
      </c>
      <c r="E240" s="4"/>
      <c r="F240" s="17">
        <f>F241+F243</f>
        <v>28171.5</v>
      </c>
    </row>
    <row r="241" spans="1:6" ht="31.5">
      <c r="A241" s="3" t="s">
        <v>51</v>
      </c>
      <c r="B241" s="4">
        <v>14</v>
      </c>
      <c r="C241" s="4" t="s">
        <v>8</v>
      </c>
      <c r="D241" s="4">
        <v>5168004</v>
      </c>
      <c r="E241" s="5"/>
      <c r="F241" s="17">
        <f>F242</f>
        <v>24487.6</v>
      </c>
    </row>
    <row r="242" spans="1:6" ht="15.75">
      <c r="A242" s="3" t="s">
        <v>123</v>
      </c>
      <c r="B242" s="4">
        <v>14</v>
      </c>
      <c r="C242" s="4" t="s">
        <v>8</v>
      </c>
      <c r="D242" s="4">
        <v>5168004</v>
      </c>
      <c r="E242" s="5" t="s">
        <v>19</v>
      </c>
      <c r="F242" s="6">
        <v>24487.6</v>
      </c>
    </row>
    <row r="243" spans="1:6" ht="31.5">
      <c r="A243" s="3" t="s">
        <v>51</v>
      </c>
      <c r="B243" s="4">
        <v>14</v>
      </c>
      <c r="C243" s="4" t="s">
        <v>8</v>
      </c>
      <c r="D243" s="4">
        <v>5168006</v>
      </c>
      <c r="E243" s="5"/>
      <c r="F243" s="6">
        <f>F244</f>
        <v>3683.9</v>
      </c>
    </row>
    <row r="244" spans="1:6" ht="15.75">
      <c r="A244" s="3" t="s">
        <v>123</v>
      </c>
      <c r="B244" s="4">
        <v>14</v>
      </c>
      <c r="C244" s="4" t="s">
        <v>8</v>
      </c>
      <c r="D244" s="4">
        <v>5168006</v>
      </c>
      <c r="E244" s="5" t="s">
        <v>19</v>
      </c>
      <c r="F244" s="6">
        <v>3683.9</v>
      </c>
    </row>
    <row r="245" spans="1:6" ht="15.75">
      <c r="A245" s="3" t="s">
        <v>52</v>
      </c>
      <c r="B245" s="4">
        <v>14</v>
      </c>
      <c r="C245" s="5" t="s">
        <v>9</v>
      </c>
      <c r="D245" s="5"/>
      <c r="E245" s="5"/>
      <c r="F245" s="17">
        <f>F246</f>
        <v>7118.1</v>
      </c>
    </row>
    <row r="246" spans="1:6" ht="15.75">
      <c r="A246" s="3" t="s">
        <v>53</v>
      </c>
      <c r="B246" s="4">
        <v>14</v>
      </c>
      <c r="C246" s="5" t="s">
        <v>9</v>
      </c>
      <c r="D246" s="5">
        <v>5170000</v>
      </c>
      <c r="E246" s="5"/>
      <c r="F246" s="17">
        <f>F247</f>
        <v>7118.1</v>
      </c>
    </row>
    <row r="247" spans="1:6" ht="31.5">
      <c r="A247" s="3" t="s">
        <v>54</v>
      </c>
      <c r="B247" s="4">
        <v>14</v>
      </c>
      <c r="C247" s="5" t="s">
        <v>9</v>
      </c>
      <c r="D247" s="5" t="s">
        <v>148</v>
      </c>
      <c r="E247" s="7"/>
      <c r="F247" s="19">
        <f>F248</f>
        <v>7118.1</v>
      </c>
    </row>
    <row r="248" spans="1:6" ht="16.5" thickBot="1">
      <c r="A248" s="3" t="s">
        <v>123</v>
      </c>
      <c r="B248" s="4">
        <v>14</v>
      </c>
      <c r="C248" s="5" t="s">
        <v>9</v>
      </c>
      <c r="D248" s="5" t="s">
        <v>148</v>
      </c>
      <c r="E248" s="5" t="s">
        <v>19</v>
      </c>
      <c r="F248" s="6">
        <v>7118.1</v>
      </c>
    </row>
    <row r="249" spans="1:9" ht="16.5" thickBot="1">
      <c r="A249" s="53" t="s">
        <v>66</v>
      </c>
      <c r="B249" s="54"/>
      <c r="C249" s="54"/>
      <c r="D249" s="54"/>
      <c r="E249" s="55"/>
      <c r="F249" s="114">
        <f>F15+F91+F95+F100+F115+F125+F130+F186+F207+F211+F228+F238+F233+0.09</f>
        <v>1403846.82</v>
      </c>
      <c r="G249" s="65"/>
      <c r="H249" s="69"/>
      <c r="I249" s="70"/>
    </row>
    <row r="250" ht="15">
      <c r="F250" s="27"/>
    </row>
    <row r="251" spans="6:7" ht="12.75" customHeight="1">
      <c r="F251" s="115">
        <v>1403846.82</v>
      </c>
      <c r="G251" s="103">
        <f>SUM(G15:G239)</f>
        <v>1349075.2999999998</v>
      </c>
    </row>
    <row r="252" spans="6:7" ht="12.75" customHeight="1">
      <c r="F252" s="66">
        <f>F249-F251</f>
        <v>0</v>
      </c>
      <c r="G252" s="65"/>
    </row>
    <row r="253" ht="12.75" customHeight="1">
      <c r="F253" s="74"/>
    </row>
    <row r="254" ht="12.75" customHeight="1"/>
    <row r="255" ht="15">
      <c r="F255" s="2"/>
    </row>
    <row r="256" ht="15">
      <c r="F256" s="27"/>
    </row>
    <row r="257" ht="15">
      <c r="F257" s="27"/>
    </row>
  </sheetData>
  <sheetProtection/>
  <mergeCells count="11">
    <mergeCell ref="B12:B14"/>
    <mergeCell ref="A10:F10"/>
    <mergeCell ref="A9:F9"/>
    <mergeCell ref="A8:F8"/>
    <mergeCell ref="A7:F7"/>
    <mergeCell ref="C12:C14"/>
    <mergeCell ref="D12:D14"/>
    <mergeCell ref="F12:F14"/>
    <mergeCell ref="E12:E14"/>
    <mergeCell ref="A12:A14"/>
    <mergeCell ref="A11:E11"/>
  </mergeCells>
  <printOptions/>
  <pageMargins left="0.42" right="0.1968503937007874" top="0.2755905511811024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0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60.75390625" style="11" customWidth="1"/>
    <col min="2" max="2" width="6.125" style="0" customWidth="1"/>
    <col min="3" max="3" width="6.375" style="0" customWidth="1"/>
    <col min="4" max="4" width="10.00390625" style="0" customWidth="1"/>
    <col min="5" max="5" width="5.25390625" style="12" customWidth="1"/>
    <col min="6" max="7" width="14.375" style="75" customWidth="1"/>
    <col min="8" max="8" width="13.375" style="58" customWidth="1"/>
    <col min="9" max="9" width="10.75390625" style="1" bestFit="1" customWidth="1"/>
    <col min="10" max="10" width="13.875" style="89" customWidth="1"/>
    <col min="11" max="13" width="9.125" style="1" customWidth="1"/>
  </cols>
  <sheetData>
    <row r="1" spans="3:7" ht="15.75">
      <c r="C1" s="28"/>
      <c r="D1" s="28" t="s">
        <v>181</v>
      </c>
      <c r="E1" s="28"/>
      <c r="F1" s="71"/>
      <c r="G1" s="71"/>
    </row>
    <row r="2" spans="3:7" ht="15.75">
      <c r="C2" s="29"/>
      <c r="D2" s="29" t="s">
        <v>67</v>
      </c>
      <c r="E2" s="29"/>
      <c r="F2" s="71"/>
      <c r="G2" s="71"/>
    </row>
    <row r="3" spans="3:7" ht="15.75">
      <c r="C3" s="29"/>
      <c r="D3" s="29" t="s">
        <v>0</v>
      </c>
      <c r="E3" s="29"/>
      <c r="F3" s="71"/>
      <c r="G3" s="71"/>
    </row>
    <row r="4" spans="3:7" ht="15.75">
      <c r="C4" s="29"/>
      <c r="D4" s="29" t="s">
        <v>220</v>
      </c>
      <c r="E4" s="29"/>
      <c r="F4" s="71"/>
      <c r="G4" s="71"/>
    </row>
    <row r="6" spans="6:7" ht="15.75">
      <c r="F6" s="72"/>
      <c r="G6" s="72" t="s">
        <v>140</v>
      </c>
    </row>
    <row r="7" spans="1:7" ht="18" customHeight="1">
      <c r="A7" s="116" t="s">
        <v>68</v>
      </c>
      <c r="B7" s="116"/>
      <c r="C7" s="116"/>
      <c r="D7" s="116"/>
      <c r="E7" s="116"/>
      <c r="F7" s="116"/>
      <c r="G7" s="116"/>
    </row>
    <row r="8" spans="1:7" ht="18" customHeight="1">
      <c r="A8" s="116" t="s">
        <v>69</v>
      </c>
      <c r="B8" s="116"/>
      <c r="C8" s="116"/>
      <c r="D8" s="116"/>
      <c r="E8" s="116"/>
      <c r="F8" s="116"/>
      <c r="G8" s="116"/>
    </row>
    <row r="9" spans="1:7" ht="18" customHeight="1">
      <c r="A9" s="116" t="s">
        <v>144</v>
      </c>
      <c r="B9" s="116"/>
      <c r="C9" s="116"/>
      <c r="D9" s="116"/>
      <c r="E9" s="116"/>
      <c r="F9" s="116"/>
      <c r="G9" s="116"/>
    </row>
    <row r="10" spans="1:7" ht="16.5" customHeight="1">
      <c r="A10" s="116" t="s">
        <v>159</v>
      </c>
      <c r="B10" s="116"/>
      <c r="C10" s="116"/>
      <c r="D10" s="116"/>
      <c r="E10" s="116"/>
      <c r="F10" s="116"/>
      <c r="G10" s="116"/>
    </row>
    <row r="11" spans="1:7" ht="16.5" customHeight="1">
      <c r="A11" s="116" t="s">
        <v>219</v>
      </c>
      <c r="B11" s="116"/>
      <c r="C11" s="116"/>
      <c r="D11" s="116"/>
      <c r="E11" s="116"/>
      <c r="F11" s="116"/>
      <c r="G11" s="116"/>
    </row>
    <row r="12" spans="1:7" ht="15" customHeight="1" thickBot="1">
      <c r="A12" s="129"/>
      <c r="B12" s="129"/>
      <c r="C12" s="129"/>
      <c r="D12" s="129"/>
      <c r="E12" s="129"/>
      <c r="F12" s="73"/>
      <c r="G12" s="73" t="s">
        <v>1</v>
      </c>
    </row>
    <row r="13" spans="1:7" ht="15.75" customHeight="1">
      <c r="A13" s="126" t="s">
        <v>2</v>
      </c>
      <c r="B13" s="117" t="s">
        <v>3</v>
      </c>
      <c r="C13" s="117" t="s">
        <v>4</v>
      </c>
      <c r="D13" s="117" t="s">
        <v>5</v>
      </c>
      <c r="E13" s="123" t="s">
        <v>6</v>
      </c>
      <c r="F13" s="130" t="s">
        <v>142</v>
      </c>
      <c r="G13" s="120" t="s">
        <v>160</v>
      </c>
    </row>
    <row r="14" spans="1:7" ht="7.5" customHeight="1">
      <c r="A14" s="127"/>
      <c r="B14" s="118"/>
      <c r="C14" s="118"/>
      <c r="D14" s="118"/>
      <c r="E14" s="124"/>
      <c r="F14" s="131"/>
      <c r="G14" s="121"/>
    </row>
    <row r="15" spans="1:7" ht="24.75" customHeight="1" thickBot="1">
      <c r="A15" s="128"/>
      <c r="B15" s="119"/>
      <c r="C15" s="119"/>
      <c r="D15" s="119"/>
      <c r="E15" s="125"/>
      <c r="F15" s="132"/>
      <c r="G15" s="122"/>
    </row>
    <row r="16" spans="1:11" ht="18.75" customHeight="1" hidden="1">
      <c r="A16" s="33" t="s">
        <v>7</v>
      </c>
      <c r="B16" s="34">
        <v>1</v>
      </c>
      <c r="C16" s="35"/>
      <c r="D16" s="36"/>
      <c r="E16" s="37"/>
      <c r="F16" s="79">
        <f>F17+F21+F29+F44+F50+F54+F41</f>
        <v>71776.07775</v>
      </c>
      <c r="G16" s="57">
        <f>G17+G21+G29+G44+G50+G54+G41</f>
        <v>73705.56950000001</v>
      </c>
      <c r="I16" s="69"/>
      <c r="K16" s="69"/>
    </row>
    <row r="17" spans="1:7" ht="31.5" hidden="1">
      <c r="A17" s="13" t="s">
        <v>70</v>
      </c>
      <c r="B17" s="14">
        <v>1</v>
      </c>
      <c r="C17" s="14">
        <v>2</v>
      </c>
      <c r="D17" s="15"/>
      <c r="E17" s="16"/>
      <c r="F17" s="78">
        <f aca="true" t="shared" si="0" ref="F17:G19">F18</f>
        <v>1804.0425000000002</v>
      </c>
      <c r="G17" s="6">
        <f t="shared" si="0"/>
        <v>1836.35</v>
      </c>
    </row>
    <row r="18" spans="1:7" ht="31.5" hidden="1">
      <c r="A18" s="13" t="s">
        <v>10</v>
      </c>
      <c r="B18" s="14">
        <v>1</v>
      </c>
      <c r="C18" s="14">
        <v>2</v>
      </c>
      <c r="D18" s="18" t="s">
        <v>11</v>
      </c>
      <c r="E18" s="16"/>
      <c r="F18" s="78">
        <f t="shared" si="0"/>
        <v>1804.0425000000002</v>
      </c>
      <c r="G18" s="6">
        <f t="shared" si="0"/>
        <v>1836.35</v>
      </c>
    </row>
    <row r="19" spans="1:7" ht="15.75" hidden="1">
      <c r="A19" s="13" t="s">
        <v>12</v>
      </c>
      <c r="B19" s="14">
        <v>1</v>
      </c>
      <c r="C19" s="14">
        <v>2</v>
      </c>
      <c r="D19" s="18" t="s">
        <v>13</v>
      </c>
      <c r="E19" s="16"/>
      <c r="F19" s="78">
        <f t="shared" si="0"/>
        <v>1804.0425000000002</v>
      </c>
      <c r="G19" s="6">
        <f t="shared" si="0"/>
        <v>1836.35</v>
      </c>
    </row>
    <row r="20" spans="1:7" ht="63.75" customHeight="1" hidden="1">
      <c r="A20" s="3" t="s">
        <v>117</v>
      </c>
      <c r="B20" s="4" t="s">
        <v>8</v>
      </c>
      <c r="C20" s="4" t="s">
        <v>9</v>
      </c>
      <c r="D20" s="5" t="s">
        <v>13</v>
      </c>
      <c r="E20" s="4">
        <v>100</v>
      </c>
      <c r="F20" s="78">
        <f>(1414.2+427.1+9)*0.975</f>
        <v>1804.0425000000002</v>
      </c>
      <c r="G20" s="6">
        <f>(1477.7+446.3+9)*0.95</f>
        <v>1836.35</v>
      </c>
    </row>
    <row r="21" spans="1:7" ht="47.25" hidden="1">
      <c r="A21" s="13" t="s">
        <v>43</v>
      </c>
      <c r="B21" s="14">
        <v>1</v>
      </c>
      <c r="C21" s="14">
        <v>3</v>
      </c>
      <c r="D21" s="18"/>
      <c r="E21" s="16"/>
      <c r="F21" s="78">
        <f>F22+F27</f>
        <v>15018.2175</v>
      </c>
      <c r="G21" s="6">
        <f>G22+G27</f>
        <v>15025.675</v>
      </c>
    </row>
    <row r="22" spans="1:7" ht="31.5" hidden="1">
      <c r="A22" s="13" t="s">
        <v>10</v>
      </c>
      <c r="B22" s="14">
        <v>1</v>
      </c>
      <c r="C22" s="14">
        <v>3</v>
      </c>
      <c r="D22" s="18" t="s">
        <v>11</v>
      </c>
      <c r="E22" s="16"/>
      <c r="F22" s="78">
        <f>F23</f>
        <v>14969.4675</v>
      </c>
      <c r="G22" s="6">
        <f>G23</f>
        <v>14978.175</v>
      </c>
    </row>
    <row r="23" spans="1:7" ht="15.75" hidden="1">
      <c r="A23" s="13" t="s">
        <v>16</v>
      </c>
      <c r="B23" s="14">
        <v>1</v>
      </c>
      <c r="C23" s="14">
        <v>3</v>
      </c>
      <c r="D23" s="18" t="s">
        <v>17</v>
      </c>
      <c r="E23" s="16"/>
      <c r="F23" s="78">
        <f>F25+F24+F26</f>
        <v>14969.4675</v>
      </c>
      <c r="G23" s="6">
        <f>G25+G24+G26</f>
        <v>14978.175</v>
      </c>
    </row>
    <row r="24" spans="1:7" ht="63" customHeight="1" hidden="1">
      <c r="A24" s="3" t="s">
        <v>117</v>
      </c>
      <c r="B24" s="4" t="s">
        <v>8</v>
      </c>
      <c r="C24" s="4" t="s">
        <v>15</v>
      </c>
      <c r="D24" s="5" t="s">
        <v>17</v>
      </c>
      <c r="E24" s="4">
        <v>100</v>
      </c>
      <c r="F24" s="78">
        <f>7665.6*0.975</f>
        <v>7473.96</v>
      </c>
      <c r="G24" s="6">
        <f>8008.9*0.95</f>
        <v>7608.454999999999</v>
      </c>
    </row>
    <row r="25" spans="1:7" ht="31.5" hidden="1">
      <c r="A25" s="3" t="s">
        <v>118</v>
      </c>
      <c r="B25" s="4" t="s">
        <v>8</v>
      </c>
      <c r="C25" s="4" t="s">
        <v>15</v>
      </c>
      <c r="D25" s="5" t="s">
        <v>17</v>
      </c>
      <c r="E25" s="4">
        <v>200</v>
      </c>
      <c r="F25" s="78">
        <f>(7736.2-50)*0.975</f>
        <v>7494.045</v>
      </c>
      <c r="G25" s="6">
        <f>(7806.1-50)*0.95</f>
        <v>7368.295</v>
      </c>
    </row>
    <row r="26" spans="1:7" ht="15.75" hidden="1">
      <c r="A26" s="3" t="s">
        <v>120</v>
      </c>
      <c r="B26" s="4" t="s">
        <v>8</v>
      </c>
      <c r="C26" s="4" t="s">
        <v>15</v>
      </c>
      <c r="D26" s="5" t="s">
        <v>17</v>
      </c>
      <c r="E26" s="4">
        <v>800</v>
      </c>
      <c r="F26" s="78">
        <f>1.5*0.975</f>
        <v>1.4625</v>
      </c>
      <c r="G26" s="6">
        <f>1.5*0.95</f>
        <v>1.4249999999999998</v>
      </c>
    </row>
    <row r="27" spans="1:7" ht="31.5" hidden="1">
      <c r="A27" s="3" t="s">
        <v>145</v>
      </c>
      <c r="B27" s="4" t="s">
        <v>8</v>
      </c>
      <c r="C27" s="4" t="s">
        <v>15</v>
      </c>
      <c r="D27" s="5" t="s">
        <v>146</v>
      </c>
      <c r="E27" s="4"/>
      <c r="F27" s="78">
        <f>F28</f>
        <v>48.75</v>
      </c>
      <c r="G27" s="6">
        <f>G28</f>
        <v>47.5</v>
      </c>
    </row>
    <row r="28" spans="1:7" ht="31.5" hidden="1">
      <c r="A28" s="3" t="s">
        <v>118</v>
      </c>
      <c r="B28" s="4" t="s">
        <v>8</v>
      </c>
      <c r="C28" s="4" t="s">
        <v>15</v>
      </c>
      <c r="D28" s="5" t="s">
        <v>146</v>
      </c>
      <c r="E28" s="4">
        <v>200</v>
      </c>
      <c r="F28" s="78">
        <f>50*0.975</f>
        <v>48.75</v>
      </c>
      <c r="G28" s="6">
        <f>50*0.95</f>
        <v>47.5</v>
      </c>
    </row>
    <row r="29" spans="1:7" ht="48" customHeight="1" hidden="1">
      <c r="A29" s="13" t="s">
        <v>71</v>
      </c>
      <c r="B29" s="14">
        <v>1</v>
      </c>
      <c r="C29" s="14">
        <v>4</v>
      </c>
      <c r="D29" s="18"/>
      <c r="E29" s="16"/>
      <c r="F29" s="78">
        <f>F30+F35+F38</f>
        <v>21574.019999999997</v>
      </c>
      <c r="G29" s="78">
        <f>G30+G35+G38</f>
        <v>22627.1</v>
      </c>
    </row>
    <row r="30" spans="1:7" ht="31.5" hidden="1">
      <c r="A30" s="13" t="s">
        <v>10</v>
      </c>
      <c r="B30" s="14">
        <v>1</v>
      </c>
      <c r="C30" s="14">
        <v>4</v>
      </c>
      <c r="D30" s="18" t="s">
        <v>11</v>
      </c>
      <c r="E30" s="16"/>
      <c r="F30" s="78">
        <f>F31</f>
        <v>21048.104999999996</v>
      </c>
      <c r="G30" s="6">
        <f>G31</f>
        <v>22092.629999999997</v>
      </c>
    </row>
    <row r="31" spans="1:7" ht="15.75" hidden="1">
      <c r="A31" s="13" t="s">
        <v>16</v>
      </c>
      <c r="B31" s="14">
        <v>1</v>
      </c>
      <c r="C31" s="14">
        <v>4</v>
      </c>
      <c r="D31" s="18" t="s">
        <v>17</v>
      </c>
      <c r="E31" s="16"/>
      <c r="F31" s="78">
        <f>F33+F32+F34</f>
        <v>21048.104999999996</v>
      </c>
      <c r="G31" s="6">
        <f>G33+G32+G34</f>
        <v>22092.629999999997</v>
      </c>
    </row>
    <row r="32" spans="1:7" ht="63" customHeight="1" hidden="1">
      <c r="A32" s="3" t="s">
        <v>117</v>
      </c>
      <c r="B32" s="4" t="s">
        <v>8</v>
      </c>
      <c r="C32" s="14">
        <v>4</v>
      </c>
      <c r="D32" s="5" t="s">
        <v>17</v>
      </c>
      <c r="E32" s="4">
        <v>100</v>
      </c>
      <c r="F32" s="78">
        <f>15363.8*0.975</f>
        <v>14979.704999999998</v>
      </c>
      <c r="G32" s="6">
        <f>16051*0.95</f>
        <v>15248.449999999999</v>
      </c>
    </row>
    <row r="33" spans="1:7" ht="31.5" hidden="1">
      <c r="A33" s="3" t="s">
        <v>118</v>
      </c>
      <c r="B33" s="4" t="s">
        <v>8</v>
      </c>
      <c r="C33" s="14">
        <v>4</v>
      </c>
      <c r="D33" s="5" t="s">
        <v>17</v>
      </c>
      <c r="E33" s="4">
        <v>200</v>
      </c>
      <c r="F33" s="80">
        <f>(6062.2+157.9+1.4)*0.975</f>
        <v>6065.962499999999</v>
      </c>
      <c r="G33" s="19">
        <f>(6092.6+1107.4+1.9)*0.95</f>
        <v>6841.804999999999</v>
      </c>
    </row>
    <row r="34" spans="1:7" ht="15.75" hidden="1">
      <c r="A34" s="3" t="s">
        <v>120</v>
      </c>
      <c r="B34" s="4" t="s">
        <v>8</v>
      </c>
      <c r="C34" s="14">
        <v>4</v>
      </c>
      <c r="D34" s="5" t="s">
        <v>17</v>
      </c>
      <c r="E34" s="4">
        <v>800</v>
      </c>
      <c r="F34" s="80">
        <f>2.5*0.975</f>
        <v>2.4375</v>
      </c>
      <c r="G34" s="19">
        <f>2.5*0.95</f>
        <v>2.375</v>
      </c>
    </row>
    <row r="35" spans="1:7" ht="31.5" hidden="1">
      <c r="A35" s="3" t="s">
        <v>21</v>
      </c>
      <c r="B35" s="4" t="s">
        <v>8</v>
      </c>
      <c r="C35" s="4" t="s">
        <v>96</v>
      </c>
      <c r="D35" s="4">
        <v>9902524</v>
      </c>
      <c r="E35" s="4"/>
      <c r="F35" s="80">
        <f>F37+F36</f>
        <v>262.9575</v>
      </c>
      <c r="G35" s="19">
        <f>G37+G36</f>
        <v>267.235</v>
      </c>
    </row>
    <row r="36" spans="1:7" ht="60.75" customHeight="1" hidden="1">
      <c r="A36" s="3" t="s">
        <v>117</v>
      </c>
      <c r="B36" s="4" t="s">
        <v>8</v>
      </c>
      <c r="C36" s="4" t="s">
        <v>96</v>
      </c>
      <c r="D36" s="4">
        <v>9902524</v>
      </c>
      <c r="E36" s="4">
        <v>100</v>
      </c>
      <c r="F36" s="78">
        <f>(245.6+12.1)*0.975</f>
        <v>251.2575</v>
      </c>
      <c r="G36" s="6">
        <f>(245.6+23.7)*0.95</f>
        <v>255.835</v>
      </c>
    </row>
    <row r="37" spans="1:7" ht="31.5" hidden="1">
      <c r="A37" s="3" t="s">
        <v>118</v>
      </c>
      <c r="B37" s="4" t="s">
        <v>8</v>
      </c>
      <c r="C37" s="4" t="s">
        <v>96</v>
      </c>
      <c r="D37" s="4">
        <v>9902524</v>
      </c>
      <c r="E37" s="4">
        <v>200</v>
      </c>
      <c r="F37" s="78">
        <f>12*0.975</f>
        <v>11.7</v>
      </c>
      <c r="G37" s="6">
        <f>12*0.95</f>
        <v>11.399999999999999</v>
      </c>
    </row>
    <row r="38" spans="1:7" ht="31.5" hidden="1">
      <c r="A38" s="3" t="s">
        <v>20</v>
      </c>
      <c r="B38" s="4" t="s">
        <v>8</v>
      </c>
      <c r="C38" s="4" t="s">
        <v>96</v>
      </c>
      <c r="D38" s="4">
        <v>9902525</v>
      </c>
      <c r="E38" s="4"/>
      <c r="F38" s="80">
        <f>F39+F40</f>
        <v>262.9575</v>
      </c>
      <c r="G38" s="19">
        <f>G39+G40</f>
        <v>267.23499999999996</v>
      </c>
    </row>
    <row r="39" spans="1:7" ht="63" customHeight="1" hidden="1">
      <c r="A39" s="3" t="s">
        <v>117</v>
      </c>
      <c r="B39" s="4" t="s">
        <v>8</v>
      </c>
      <c r="C39" s="4" t="s">
        <v>96</v>
      </c>
      <c r="D39" s="4">
        <v>9902525</v>
      </c>
      <c r="E39" s="4">
        <v>100</v>
      </c>
      <c r="F39" s="78">
        <f>257.9*0.975</f>
        <v>251.45249999999996</v>
      </c>
      <c r="G39" s="6">
        <f>269.5*0.95</f>
        <v>256.025</v>
      </c>
    </row>
    <row r="40" spans="1:7" ht="31.5" hidden="1">
      <c r="A40" s="3" t="s">
        <v>118</v>
      </c>
      <c r="B40" s="4" t="s">
        <v>8</v>
      </c>
      <c r="C40" s="4" t="s">
        <v>96</v>
      </c>
      <c r="D40" s="4">
        <v>9902525</v>
      </c>
      <c r="E40" s="4">
        <v>200</v>
      </c>
      <c r="F40" s="78">
        <f>11.8*0.975</f>
        <v>11.505</v>
      </c>
      <c r="G40" s="6">
        <f>11.8*0.95</f>
        <v>11.21</v>
      </c>
    </row>
    <row r="41" spans="1:7" ht="15.75" hidden="1">
      <c r="A41" s="3" t="s">
        <v>170</v>
      </c>
      <c r="B41" s="4" t="s">
        <v>8</v>
      </c>
      <c r="C41" s="5" t="s">
        <v>32</v>
      </c>
      <c r="D41" s="4"/>
      <c r="E41" s="4"/>
      <c r="F41" s="78">
        <f>F42</f>
        <v>40.8525</v>
      </c>
      <c r="G41" s="6">
        <f>G42</f>
        <v>0</v>
      </c>
    </row>
    <row r="42" spans="1:7" ht="47.25" hidden="1">
      <c r="A42" s="3" t="s">
        <v>171</v>
      </c>
      <c r="B42" s="4" t="s">
        <v>8</v>
      </c>
      <c r="C42" s="5" t="s">
        <v>32</v>
      </c>
      <c r="D42" s="5" t="s">
        <v>195</v>
      </c>
      <c r="E42" s="4"/>
      <c r="F42" s="78">
        <f>F43</f>
        <v>40.8525</v>
      </c>
      <c r="G42" s="6">
        <f>G43</f>
        <v>0</v>
      </c>
    </row>
    <row r="43" spans="1:7" ht="31.5" hidden="1">
      <c r="A43" s="3" t="s">
        <v>118</v>
      </c>
      <c r="B43" s="4" t="s">
        <v>8</v>
      </c>
      <c r="C43" s="5" t="s">
        <v>32</v>
      </c>
      <c r="D43" s="5" t="s">
        <v>195</v>
      </c>
      <c r="E43" s="4">
        <v>200</v>
      </c>
      <c r="F43" s="78">
        <f>41.9*0.975</f>
        <v>40.8525</v>
      </c>
      <c r="G43" s="6">
        <v>0</v>
      </c>
    </row>
    <row r="44" spans="1:7" ht="47.25" hidden="1">
      <c r="A44" s="13" t="s">
        <v>72</v>
      </c>
      <c r="B44" s="14">
        <v>1</v>
      </c>
      <c r="C44" s="14">
        <v>6</v>
      </c>
      <c r="D44" s="18"/>
      <c r="E44" s="16"/>
      <c r="F44" s="78">
        <f>F45</f>
        <v>10671.8625</v>
      </c>
      <c r="G44" s="6">
        <f>G45</f>
        <v>10748.3</v>
      </c>
    </row>
    <row r="45" spans="1:7" ht="31.5" hidden="1">
      <c r="A45" s="13" t="s">
        <v>10</v>
      </c>
      <c r="B45" s="14">
        <v>1</v>
      </c>
      <c r="C45" s="14">
        <v>6</v>
      </c>
      <c r="D45" s="18" t="s">
        <v>11</v>
      </c>
      <c r="E45" s="16"/>
      <c r="F45" s="78">
        <f>F46</f>
        <v>10671.8625</v>
      </c>
      <c r="G45" s="6">
        <f>G46</f>
        <v>10748.3</v>
      </c>
    </row>
    <row r="46" spans="1:7" ht="15.75" hidden="1">
      <c r="A46" s="13" t="s">
        <v>16</v>
      </c>
      <c r="B46" s="14">
        <v>1</v>
      </c>
      <c r="C46" s="14">
        <v>6</v>
      </c>
      <c r="D46" s="18" t="s">
        <v>17</v>
      </c>
      <c r="E46" s="16"/>
      <c r="F46" s="78">
        <f>F48+F47+F49</f>
        <v>10671.8625</v>
      </c>
      <c r="G46" s="6">
        <f>G48+G47+G49</f>
        <v>10748.3</v>
      </c>
    </row>
    <row r="47" spans="1:7" ht="63.75" customHeight="1" hidden="1">
      <c r="A47" s="3" t="s">
        <v>117</v>
      </c>
      <c r="B47" s="4" t="s">
        <v>8</v>
      </c>
      <c r="C47" s="4" t="s">
        <v>119</v>
      </c>
      <c r="D47" s="4" t="s">
        <v>17</v>
      </c>
      <c r="E47" s="4">
        <v>100</v>
      </c>
      <c r="F47" s="78">
        <f>7918.2*0.975</f>
        <v>7720.245</v>
      </c>
      <c r="G47" s="6">
        <f>8272.1*0.95</f>
        <v>7858.495</v>
      </c>
    </row>
    <row r="48" spans="1:7" ht="31.5" hidden="1">
      <c r="A48" s="3" t="s">
        <v>118</v>
      </c>
      <c r="B48" s="4" t="s">
        <v>8</v>
      </c>
      <c r="C48" s="4" t="s">
        <v>119</v>
      </c>
      <c r="D48" s="4" t="s">
        <v>17</v>
      </c>
      <c r="E48" s="4">
        <v>200</v>
      </c>
      <c r="F48" s="80">
        <f>3027.2*0.975</f>
        <v>2951.52</v>
      </c>
      <c r="G48" s="19">
        <f>3041.8*0.95</f>
        <v>2889.71</v>
      </c>
    </row>
    <row r="49" spans="1:7" ht="15.75" hidden="1">
      <c r="A49" s="3" t="s">
        <v>120</v>
      </c>
      <c r="B49" s="4" t="s">
        <v>8</v>
      </c>
      <c r="C49" s="4" t="s">
        <v>119</v>
      </c>
      <c r="D49" s="4" t="s">
        <v>17</v>
      </c>
      <c r="E49" s="4">
        <v>800</v>
      </c>
      <c r="F49" s="80">
        <f>0.1*0.975</f>
        <v>0.0975</v>
      </c>
      <c r="G49" s="19">
        <f>0.1*0.95</f>
        <v>0.095</v>
      </c>
    </row>
    <row r="50" spans="1:7" ht="15.75" hidden="1">
      <c r="A50" s="13" t="s">
        <v>22</v>
      </c>
      <c r="B50" s="14">
        <v>1</v>
      </c>
      <c r="C50" s="14">
        <v>11</v>
      </c>
      <c r="D50" s="18"/>
      <c r="E50" s="16"/>
      <c r="F50" s="78">
        <f aca="true" t="shared" si="1" ref="F50:G52">F51</f>
        <v>7007.227499999999</v>
      </c>
      <c r="G50" s="6">
        <f t="shared" si="1"/>
        <v>7563.424999999999</v>
      </c>
    </row>
    <row r="51" spans="1:7" ht="15.75" hidden="1">
      <c r="A51" s="13" t="s">
        <v>22</v>
      </c>
      <c r="B51" s="14">
        <v>1</v>
      </c>
      <c r="C51" s="14">
        <v>11</v>
      </c>
      <c r="D51" s="18" t="s">
        <v>23</v>
      </c>
      <c r="E51" s="16"/>
      <c r="F51" s="78">
        <f t="shared" si="1"/>
        <v>7007.227499999999</v>
      </c>
      <c r="G51" s="6">
        <f t="shared" si="1"/>
        <v>7563.424999999999</v>
      </c>
    </row>
    <row r="52" spans="1:7" ht="15.75" hidden="1">
      <c r="A52" s="13" t="s">
        <v>73</v>
      </c>
      <c r="B52" s="14">
        <v>1</v>
      </c>
      <c r="C52" s="14">
        <v>11</v>
      </c>
      <c r="D52" s="18" t="s">
        <v>24</v>
      </c>
      <c r="E52" s="16"/>
      <c r="F52" s="78">
        <f t="shared" si="1"/>
        <v>7007.227499999999</v>
      </c>
      <c r="G52" s="6">
        <f t="shared" si="1"/>
        <v>7563.424999999999</v>
      </c>
    </row>
    <row r="53" spans="1:7" ht="15.75" hidden="1">
      <c r="A53" s="3" t="s">
        <v>120</v>
      </c>
      <c r="B53" s="4" t="s">
        <v>8</v>
      </c>
      <c r="C53" s="4">
        <v>11</v>
      </c>
      <c r="D53" s="4" t="s">
        <v>24</v>
      </c>
      <c r="E53" s="4">
        <v>800</v>
      </c>
      <c r="F53" s="78">
        <f>7186.9*0.975</f>
        <v>7007.227499999999</v>
      </c>
      <c r="G53" s="6">
        <f>7961.5*0.95</f>
        <v>7563.424999999999</v>
      </c>
    </row>
    <row r="54" spans="1:7" ht="15.75" hidden="1">
      <c r="A54" s="13" t="s">
        <v>74</v>
      </c>
      <c r="B54" s="14">
        <v>1</v>
      </c>
      <c r="C54" s="14">
        <v>13</v>
      </c>
      <c r="D54" s="18"/>
      <c r="E54" s="16"/>
      <c r="F54" s="78">
        <f>F56+F60+F65+F69+F70+F73+F76+F79+F81+F83+F62</f>
        <v>15659.85525</v>
      </c>
      <c r="G54" s="6">
        <f>G56+G60+G65+G69+G70+G73+G76+G79+G81+G83+G62</f>
        <v>15904.719500000001</v>
      </c>
    </row>
    <row r="55" spans="1:7" ht="31.5" hidden="1">
      <c r="A55" s="13" t="s">
        <v>10</v>
      </c>
      <c r="B55" s="14">
        <v>1</v>
      </c>
      <c r="C55" s="14">
        <v>13</v>
      </c>
      <c r="D55" s="18" t="s">
        <v>11</v>
      </c>
      <c r="E55" s="16"/>
      <c r="F55" s="78">
        <f>F58+F60</f>
        <v>2623.2375</v>
      </c>
      <c r="G55" s="6">
        <f>G58+G60</f>
        <v>2584.76</v>
      </c>
    </row>
    <row r="56" spans="1:7" ht="15.75" hidden="1">
      <c r="A56" s="13" t="s">
        <v>16</v>
      </c>
      <c r="B56" s="14">
        <v>1</v>
      </c>
      <c r="C56" s="14">
        <v>13</v>
      </c>
      <c r="D56" s="18" t="s">
        <v>17</v>
      </c>
      <c r="E56" s="16"/>
      <c r="F56" s="78">
        <f>F58+F57+F59</f>
        <v>5781.847500000001</v>
      </c>
      <c r="G56" s="6">
        <f>G58+G57+G59</f>
        <v>5847.535000000001</v>
      </c>
    </row>
    <row r="57" spans="1:7" ht="63" customHeight="1" hidden="1">
      <c r="A57" s="3" t="s">
        <v>117</v>
      </c>
      <c r="B57" s="4" t="s">
        <v>8</v>
      </c>
      <c r="C57" s="4">
        <v>13</v>
      </c>
      <c r="D57" s="4" t="s">
        <v>17</v>
      </c>
      <c r="E57" s="4">
        <v>100</v>
      </c>
      <c r="F57" s="78">
        <f>(3335.1+7+1007.2)*0.975</f>
        <v>4240.5675</v>
      </c>
      <c r="G57" s="6">
        <f>(3484.8+7+1052.4)*0.95</f>
        <v>4316.990000000001</v>
      </c>
    </row>
    <row r="58" spans="1:7" ht="31.5" hidden="1">
      <c r="A58" s="3" t="s">
        <v>118</v>
      </c>
      <c r="B58" s="4" t="s">
        <v>8</v>
      </c>
      <c r="C58" s="4">
        <v>13</v>
      </c>
      <c r="D58" s="4" t="s">
        <v>17</v>
      </c>
      <c r="E58" s="4">
        <v>200</v>
      </c>
      <c r="F58" s="78">
        <f>1580.3*0.975</f>
        <v>1540.7925</v>
      </c>
      <c r="G58" s="6">
        <f>1610.6*0.95</f>
        <v>1530.07</v>
      </c>
    </row>
    <row r="59" spans="1:7" ht="15.75" hidden="1">
      <c r="A59" s="3" t="s">
        <v>120</v>
      </c>
      <c r="B59" s="4" t="s">
        <v>8</v>
      </c>
      <c r="C59" s="4">
        <v>13</v>
      </c>
      <c r="D59" s="4" t="s">
        <v>17</v>
      </c>
      <c r="E59" s="4">
        <v>800</v>
      </c>
      <c r="F59" s="78">
        <f>0.5*0.975</f>
        <v>0.4875</v>
      </c>
      <c r="G59" s="6">
        <f>0.5*0.95</f>
        <v>0.475</v>
      </c>
    </row>
    <row r="60" spans="1:7" ht="31.5" hidden="1">
      <c r="A60" s="3" t="s">
        <v>92</v>
      </c>
      <c r="B60" s="4" t="s">
        <v>8</v>
      </c>
      <c r="C60" s="4">
        <v>13</v>
      </c>
      <c r="D60" s="5" t="s">
        <v>93</v>
      </c>
      <c r="E60" s="4"/>
      <c r="F60" s="80">
        <f>F61</f>
        <v>1082.445</v>
      </c>
      <c r="G60" s="19">
        <f>G61</f>
        <v>1054.69</v>
      </c>
    </row>
    <row r="61" spans="1:7" ht="15.75" hidden="1">
      <c r="A61" s="3" t="s">
        <v>120</v>
      </c>
      <c r="B61" s="4" t="s">
        <v>8</v>
      </c>
      <c r="C61" s="4">
        <v>13</v>
      </c>
      <c r="D61" s="5" t="s">
        <v>93</v>
      </c>
      <c r="E61" s="4">
        <v>800</v>
      </c>
      <c r="F61" s="80">
        <f>1110.2*0.975</f>
        <v>1082.445</v>
      </c>
      <c r="G61" s="19">
        <f>1110.2*0.95</f>
        <v>1054.69</v>
      </c>
    </row>
    <row r="62" spans="1:7" ht="15.75" customHeight="1" hidden="1">
      <c r="A62" s="3" t="s">
        <v>26</v>
      </c>
      <c r="B62" s="4" t="s">
        <v>8</v>
      </c>
      <c r="C62" s="4">
        <v>13</v>
      </c>
      <c r="D62" s="5" t="s">
        <v>169</v>
      </c>
      <c r="E62" s="4"/>
      <c r="F62" s="78">
        <f>F63</f>
        <v>112.515</v>
      </c>
      <c r="G62" s="6">
        <f>G63</f>
        <v>109.63</v>
      </c>
    </row>
    <row r="63" spans="1:7" ht="31.5" hidden="1">
      <c r="A63" s="3" t="s">
        <v>122</v>
      </c>
      <c r="B63" s="4" t="s">
        <v>8</v>
      </c>
      <c r="C63" s="4">
        <v>13</v>
      </c>
      <c r="D63" s="5" t="s">
        <v>169</v>
      </c>
      <c r="E63" s="4">
        <v>600</v>
      </c>
      <c r="F63" s="78">
        <f>115.4*0.975</f>
        <v>112.515</v>
      </c>
      <c r="G63" s="6">
        <f>115.4*0.95</f>
        <v>109.63</v>
      </c>
    </row>
    <row r="64" spans="1:7" ht="31.5" hidden="1">
      <c r="A64" s="13" t="s">
        <v>28</v>
      </c>
      <c r="B64" s="14">
        <v>1</v>
      </c>
      <c r="C64" s="14">
        <v>13</v>
      </c>
      <c r="D64" s="15">
        <v>4400000</v>
      </c>
      <c r="E64" s="16"/>
      <c r="F64" s="78">
        <f>F65</f>
        <v>791.6025</v>
      </c>
      <c r="G64" s="6">
        <f>G65</f>
        <v>804.27</v>
      </c>
    </row>
    <row r="65" spans="1:7" ht="18" customHeight="1" hidden="1">
      <c r="A65" s="13" t="s">
        <v>26</v>
      </c>
      <c r="B65" s="14">
        <v>1</v>
      </c>
      <c r="C65" s="14">
        <v>13</v>
      </c>
      <c r="D65" s="15">
        <v>4409900</v>
      </c>
      <c r="E65" s="16"/>
      <c r="F65" s="78">
        <f>F67+F66</f>
        <v>791.6025</v>
      </c>
      <c r="G65" s="6">
        <f>G67+G66</f>
        <v>804.27</v>
      </c>
    </row>
    <row r="66" spans="1:7" ht="60.75" customHeight="1" hidden="1">
      <c r="A66" s="3" t="s">
        <v>117</v>
      </c>
      <c r="B66" s="4" t="s">
        <v>8</v>
      </c>
      <c r="C66" s="4">
        <v>13</v>
      </c>
      <c r="D66" s="4" t="s">
        <v>121</v>
      </c>
      <c r="E66" s="4">
        <v>100</v>
      </c>
      <c r="F66" s="78">
        <f>609.2*0.975</f>
        <v>593.97</v>
      </c>
      <c r="G66" s="6">
        <f>636.5*0.95</f>
        <v>604.675</v>
      </c>
    </row>
    <row r="67" spans="1:7" ht="31.5" hidden="1">
      <c r="A67" s="3" t="s">
        <v>118</v>
      </c>
      <c r="B67" s="4" t="s">
        <v>8</v>
      </c>
      <c r="C67" s="4">
        <v>13</v>
      </c>
      <c r="D67" s="4" t="s">
        <v>121</v>
      </c>
      <c r="E67" s="4">
        <v>200</v>
      </c>
      <c r="F67" s="78">
        <f>202.7*0.975</f>
        <v>197.6325</v>
      </c>
      <c r="G67" s="6">
        <f>210.1*0.95</f>
        <v>199.595</v>
      </c>
    </row>
    <row r="68" spans="1:7" ht="31.5" hidden="1">
      <c r="A68" s="3" t="s">
        <v>161</v>
      </c>
      <c r="B68" s="4" t="s">
        <v>8</v>
      </c>
      <c r="C68" s="4">
        <v>13</v>
      </c>
      <c r="D68" s="101">
        <v>7950200</v>
      </c>
      <c r="E68" s="4"/>
      <c r="F68" s="78">
        <f>F69</f>
        <v>3038.7825</v>
      </c>
      <c r="G68" s="6">
        <f>G69</f>
        <v>3037.055</v>
      </c>
    </row>
    <row r="69" spans="1:7" ht="31.5" hidden="1">
      <c r="A69" s="3" t="s">
        <v>122</v>
      </c>
      <c r="B69" s="14">
        <v>1</v>
      </c>
      <c r="C69" s="14">
        <v>13</v>
      </c>
      <c r="D69" s="101">
        <v>7950200</v>
      </c>
      <c r="E69" s="4">
        <v>600</v>
      </c>
      <c r="F69" s="78">
        <f>3116.7*0.975</f>
        <v>3038.7825</v>
      </c>
      <c r="G69" s="6">
        <f>3196.9*0.95</f>
        <v>3037.055</v>
      </c>
    </row>
    <row r="70" spans="1:7" ht="47.25" hidden="1">
      <c r="A70" s="8" t="s">
        <v>100</v>
      </c>
      <c r="B70" s="4" t="s">
        <v>8</v>
      </c>
      <c r="C70" s="4">
        <v>13</v>
      </c>
      <c r="D70" s="4">
        <v>9902526</v>
      </c>
      <c r="E70" s="4"/>
      <c r="F70" s="80">
        <f>F72+F71</f>
        <v>548.5350000000001</v>
      </c>
      <c r="G70" s="19">
        <f>G72+G71</f>
        <v>556.985</v>
      </c>
    </row>
    <row r="71" spans="1:7" ht="60.75" customHeight="1" hidden="1">
      <c r="A71" s="3" t="s">
        <v>117</v>
      </c>
      <c r="B71" s="4" t="s">
        <v>8</v>
      </c>
      <c r="C71" s="4">
        <v>13</v>
      </c>
      <c r="D71" s="4">
        <v>9902526</v>
      </c>
      <c r="E71" s="4">
        <v>100</v>
      </c>
      <c r="F71" s="78">
        <f>(371.6+2+112.2+24.6)*0.975</f>
        <v>497.64000000000004</v>
      </c>
      <c r="G71" s="6">
        <f>(371.6+2+112.2+48.3)*0.95</f>
        <v>507.395</v>
      </c>
    </row>
    <row r="72" spans="1:7" ht="31.5" hidden="1">
      <c r="A72" s="3" t="s">
        <v>118</v>
      </c>
      <c r="B72" s="4" t="s">
        <v>8</v>
      </c>
      <c r="C72" s="4">
        <v>13</v>
      </c>
      <c r="D72" s="4">
        <v>9902526</v>
      </c>
      <c r="E72" s="4">
        <v>200</v>
      </c>
      <c r="F72" s="78">
        <f>52.2*0.975</f>
        <v>50.895</v>
      </c>
      <c r="G72" s="6">
        <f>52.2*0.95</f>
        <v>49.59</v>
      </c>
    </row>
    <row r="73" spans="1:7" ht="31.5" hidden="1">
      <c r="A73" s="3" t="s">
        <v>18</v>
      </c>
      <c r="B73" s="4" t="s">
        <v>8</v>
      </c>
      <c r="C73" s="4">
        <v>13</v>
      </c>
      <c r="D73" s="5" t="s">
        <v>183</v>
      </c>
      <c r="E73" s="4"/>
      <c r="F73" s="80">
        <f>F75+F74</f>
        <v>261.39750000000004</v>
      </c>
      <c r="G73" s="19">
        <f>G75+G74</f>
        <v>264.955</v>
      </c>
    </row>
    <row r="74" spans="1:7" ht="60.75" customHeight="1" hidden="1">
      <c r="A74" s="3" t="s">
        <v>117</v>
      </c>
      <c r="B74" s="4" t="s">
        <v>8</v>
      </c>
      <c r="C74" s="4">
        <v>13</v>
      </c>
      <c r="D74" s="5" t="s">
        <v>183</v>
      </c>
      <c r="E74" s="4">
        <v>100</v>
      </c>
      <c r="F74" s="78">
        <f>(254.3+11.5)*0.975</f>
        <v>259.15500000000003</v>
      </c>
      <c r="G74" s="6">
        <f>(254.3+22.3)*0.95</f>
        <v>262.77</v>
      </c>
    </row>
    <row r="75" spans="1:7" ht="31.5" hidden="1">
      <c r="A75" s="3" t="s">
        <v>118</v>
      </c>
      <c r="B75" s="4" t="s">
        <v>8</v>
      </c>
      <c r="C75" s="4">
        <v>13</v>
      </c>
      <c r="D75" s="5" t="s">
        <v>183</v>
      </c>
      <c r="E75" s="4">
        <v>200</v>
      </c>
      <c r="F75" s="78">
        <f>2.3*0.975</f>
        <v>2.2424999999999997</v>
      </c>
      <c r="G75" s="6">
        <f>2.3*0.95</f>
        <v>2.1849999999999996</v>
      </c>
    </row>
    <row r="76" spans="1:7" ht="31.5" hidden="1">
      <c r="A76" s="3" t="s">
        <v>29</v>
      </c>
      <c r="B76" s="4" t="s">
        <v>8</v>
      </c>
      <c r="C76" s="4">
        <v>13</v>
      </c>
      <c r="D76" s="5" t="s">
        <v>30</v>
      </c>
      <c r="E76" s="4"/>
      <c r="F76" s="80">
        <f>F78+F77</f>
        <v>1235.7150000000001</v>
      </c>
      <c r="G76" s="19">
        <f>G78+G77</f>
        <v>1254</v>
      </c>
    </row>
    <row r="77" spans="1:7" ht="60.75" customHeight="1" hidden="1">
      <c r="A77" s="3" t="s">
        <v>117</v>
      </c>
      <c r="B77" s="4" t="s">
        <v>8</v>
      </c>
      <c r="C77" s="4">
        <v>13</v>
      </c>
      <c r="D77" s="5" t="s">
        <v>30</v>
      </c>
      <c r="E77" s="4">
        <v>100</v>
      </c>
      <c r="F77" s="78">
        <f>(1125.5+54.9)*0.975</f>
        <v>1150.89</v>
      </c>
      <c r="G77" s="6">
        <f>(1125.5+107.5)*0.95</f>
        <v>1171.35</v>
      </c>
    </row>
    <row r="78" spans="1:11" ht="31.5" hidden="1">
      <c r="A78" s="3" t="s">
        <v>118</v>
      </c>
      <c r="B78" s="4" t="s">
        <v>8</v>
      </c>
      <c r="C78" s="4">
        <v>13</v>
      </c>
      <c r="D78" s="5" t="s">
        <v>30</v>
      </c>
      <c r="E78" s="4">
        <v>200</v>
      </c>
      <c r="F78" s="78">
        <f>87*0.975</f>
        <v>84.825</v>
      </c>
      <c r="G78" s="6">
        <f>87*0.95</f>
        <v>82.64999999999999</v>
      </c>
      <c r="I78" s="69"/>
      <c r="K78" s="69"/>
    </row>
    <row r="79" spans="1:7" ht="31.5" hidden="1">
      <c r="A79" s="3" t="s">
        <v>31</v>
      </c>
      <c r="B79" s="4" t="s">
        <v>8</v>
      </c>
      <c r="C79" s="4">
        <v>13</v>
      </c>
      <c r="D79" s="4">
        <v>9902534</v>
      </c>
      <c r="E79" s="4"/>
      <c r="F79" s="80">
        <f>F80</f>
        <v>116.5125</v>
      </c>
      <c r="G79" s="19">
        <f>G80</f>
        <v>117.99</v>
      </c>
    </row>
    <row r="80" spans="1:7" ht="31.5" hidden="1">
      <c r="A80" s="3" t="s">
        <v>118</v>
      </c>
      <c r="B80" s="4" t="s">
        <v>8</v>
      </c>
      <c r="C80" s="4">
        <v>13</v>
      </c>
      <c r="D80" s="4">
        <v>9902534</v>
      </c>
      <c r="E80" s="4">
        <v>200</v>
      </c>
      <c r="F80" s="78">
        <f>119.5*0.975</f>
        <v>116.5125</v>
      </c>
      <c r="G80" s="6">
        <f>124.2*0.95</f>
        <v>117.99</v>
      </c>
    </row>
    <row r="81" spans="1:7" ht="47.25" hidden="1">
      <c r="A81" s="3" t="s">
        <v>111</v>
      </c>
      <c r="B81" s="4" t="s">
        <v>8</v>
      </c>
      <c r="C81" s="4">
        <v>13</v>
      </c>
      <c r="D81" s="5" t="s">
        <v>184</v>
      </c>
      <c r="E81" s="4"/>
      <c r="F81" s="78">
        <f>F82</f>
        <v>0.38025</v>
      </c>
      <c r="G81" s="6">
        <f>G82</f>
        <v>0.38949999999999996</v>
      </c>
    </row>
    <row r="82" spans="1:11" ht="31.5" hidden="1">
      <c r="A82" s="3" t="s">
        <v>118</v>
      </c>
      <c r="B82" s="4" t="s">
        <v>8</v>
      </c>
      <c r="C82" s="4">
        <v>13</v>
      </c>
      <c r="D82" s="5" t="s">
        <v>184</v>
      </c>
      <c r="E82" s="4">
        <v>200</v>
      </c>
      <c r="F82" s="78">
        <f>0.39*0.975</f>
        <v>0.38025</v>
      </c>
      <c r="G82" s="6">
        <f>0.41*0.95</f>
        <v>0.38949999999999996</v>
      </c>
      <c r="I82" s="69"/>
      <c r="K82" s="69"/>
    </row>
    <row r="83" spans="1:7" ht="17.25" customHeight="1" hidden="1">
      <c r="A83" s="3" t="s">
        <v>25</v>
      </c>
      <c r="B83" s="4" t="s">
        <v>8</v>
      </c>
      <c r="C83" s="4">
        <v>13</v>
      </c>
      <c r="D83" s="5" t="s">
        <v>185</v>
      </c>
      <c r="E83" s="7"/>
      <c r="F83" s="78">
        <f>F84+F85+F86</f>
        <v>2690.1225</v>
      </c>
      <c r="G83" s="6">
        <f>G84+G85+G86</f>
        <v>2857.2200000000003</v>
      </c>
    </row>
    <row r="84" spans="1:7" ht="62.25" customHeight="1" hidden="1">
      <c r="A84" s="3" t="s">
        <v>117</v>
      </c>
      <c r="B84" s="4" t="s">
        <v>8</v>
      </c>
      <c r="C84" s="4">
        <v>13</v>
      </c>
      <c r="D84" s="5" t="s">
        <v>185</v>
      </c>
      <c r="E84" s="4">
        <v>100</v>
      </c>
      <c r="F84" s="78">
        <f>1227.3*0.975</f>
        <v>1196.6174999999998</v>
      </c>
      <c r="G84" s="6">
        <f>(1227.3+113.6)*0.95</f>
        <v>1273.8549999999998</v>
      </c>
    </row>
    <row r="85" spans="1:7" ht="31.5" hidden="1">
      <c r="A85" s="3" t="s">
        <v>118</v>
      </c>
      <c r="B85" s="4" t="s">
        <v>8</v>
      </c>
      <c r="C85" s="4">
        <v>13</v>
      </c>
      <c r="D85" s="5" t="s">
        <v>185</v>
      </c>
      <c r="E85" s="4">
        <v>200</v>
      </c>
      <c r="F85" s="78">
        <f>(1552.7-134.9)*0.975</f>
        <v>1382.355</v>
      </c>
      <c r="G85" s="6">
        <f>1552.7*0.95</f>
        <v>1475.065</v>
      </c>
    </row>
    <row r="86" spans="1:7" ht="15.75" hidden="1">
      <c r="A86" s="3" t="s">
        <v>123</v>
      </c>
      <c r="B86" s="4" t="s">
        <v>8</v>
      </c>
      <c r="C86" s="4">
        <v>13</v>
      </c>
      <c r="D86" s="5" t="s">
        <v>185</v>
      </c>
      <c r="E86" s="5" t="s">
        <v>19</v>
      </c>
      <c r="F86" s="78">
        <f>114*0.975</f>
        <v>111.14999999999999</v>
      </c>
      <c r="G86" s="6">
        <f>114*0.95</f>
        <v>108.3</v>
      </c>
    </row>
    <row r="87" spans="1:7" ht="15.75" hidden="1">
      <c r="A87" s="39" t="s">
        <v>44</v>
      </c>
      <c r="B87" s="40" t="s">
        <v>9</v>
      </c>
      <c r="C87" s="41"/>
      <c r="D87" s="40"/>
      <c r="E87" s="40"/>
      <c r="F87" s="81">
        <f aca="true" t="shared" si="2" ref="F87:G89">F88</f>
        <v>1267.7925</v>
      </c>
      <c r="G87" s="42">
        <f t="shared" si="2"/>
        <v>1179.5199999999998</v>
      </c>
    </row>
    <row r="88" spans="1:7" ht="15.75" hidden="1">
      <c r="A88" s="3" t="s">
        <v>45</v>
      </c>
      <c r="B88" s="5" t="s">
        <v>9</v>
      </c>
      <c r="C88" s="5" t="s">
        <v>15</v>
      </c>
      <c r="D88" s="5"/>
      <c r="E88" s="5"/>
      <c r="F88" s="78">
        <f t="shared" si="2"/>
        <v>1267.7925</v>
      </c>
      <c r="G88" s="6">
        <f t="shared" si="2"/>
        <v>1179.5199999999998</v>
      </c>
    </row>
    <row r="89" spans="1:11" ht="31.5" hidden="1">
      <c r="A89" s="3" t="s">
        <v>46</v>
      </c>
      <c r="B89" s="5" t="s">
        <v>9</v>
      </c>
      <c r="C89" s="5" t="s">
        <v>15</v>
      </c>
      <c r="D89" s="5" t="s">
        <v>194</v>
      </c>
      <c r="E89" s="5"/>
      <c r="F89" s="78">
        <f t="shared" si="2"/>
        <v>1267.7925</v>
      </c>
      <c r="G89" s="6">
        <f t="shared" si="2"/>
        <v>1179.5199999999998</v>
      </c>
      <c r="I89" s="69"/>
      <c r="K89" s="69"/>
    </row>
    <row r="90" spans="1:7" ht="15.75" hidden="1">
      <c r="A90" s="3" t="s">
        <v>123</v>
      </c>
      <c r="B90" s="5" t="s">
        <v>9</v>
      </c>
      <c r="C90" s="5" t="s">
        <v>15</v>
      </c>
      <c r="D90" s="5" t="s">
        <v>194</v>
      </c>
      <c r="E90" s="5" t="s">
        <v>19</v>
      </c>
      <c r="F90" s="78">
        <f>1300.3*0.975</f>
        <v>1267.7925</v>
      </c>
      <c r="G90" s="6">
        <f>1241.6*0.95</f>
        <v>1179.5199999999998</v>
      </c>
    </row>
    <row r="91" spans="1:7" ht="31.5" hidden="1">
      <c r="A91" s="33" t="s">
        <v>75</v>
      </c>
      <c r="B91" s="34">
        <v>3</v>
      </c>
      <c r="C91" s="34"/>
      <c r="D91" s="43"/>
      <c r="E91" s="44"/>
      <c r="F91" s="82">
        <f>F92</f>
        <v>1012.5375</v>
      </c>
      <c r="G91" s="45">
        <f>G92</f>
        <v>1030.37</v>
      </c>
    </row>
    <row r="92" spans="1:7" ht="28.5" customHeight="1" hidden="1">
      <c r="A92" s="3" t="s">
        <v>87</v>
      </c>
      <c r="B92" s="5" t="s">
        <v>15</v>
      </c>
      <c r="C92" s="5" t="s">
        <v>35</v>
      </c>
      <c r="D92" s="4"/>
      <c r="E92" s="4"/>
      <c r="F92" s="78">
        <f>F93</f>
        <v>1012.5375</v>
      </c>
      <c r="G92" s="6">
        <f>G93</f>
        <v>1030.37</v>
      </c>
    </row>
    <row r="93" spans="1:7" ht="31.5" hidden="1">
      <c r="A93" s="3" t="s">
        <v>55</v>
      </c>
      <c r="B93" s="5" t="s">
        <v>15</v>
      </c>
      <c r="C93" s="5" t="s">
        <v>35</v>
      </c>
      <c r="D93" s="4">
        <v>2026700</v>
      </c>
      <c r="E93" s="5"/>
      <c r="F93" s="78">
        <f>F95+F94</f>
        <v>1012.5375</v>
      </c>
      <c r="G93" s="6">
        <f>G95+G94</f>
        <v>1030.37</v>
      </c>
    </row>
    <row r="94" spans="1:7" ht="62.25" customHeight="1" hidden="1">
      <c r="A94" s="3" t="s">
        <v>117</v>
      </c>
      <c r="B94" s="5" t="s">
        <v>15</v>
      </c>
      <c r="C94" s="5" t="s">
        <v>35</v>
      </c>
      <c r="D94" s="4">
        <v>2026700</v>
      </c>
      <c r="E94" s="4">
        <v>100</v>
      </c>
      <c r="F94" s="78">
        <f>1026.5*0.975</f>
        <v>1000.8375</v>
      </c>
      <c r="G94" s="6">
        <f>1072.6*0.95</f>
        <v>1018.9699999999999</v>
      </c>
    </row>
    <row r="95" spans="1:7" ht="31.5" hidden="1">
      <c r="A95" s="3" t="s">
        <v>118</v>
      </c>
      <c r="B95" s="5" t="s">
        <v>15</v>
      </c>
      <c r="C95" s="5" t="s">
        <v>35</v>
      </c>
      <c r="D95" s="4">
        <v>2026700</v>
      </c>
      <c r="E95" s="4">
        <v>200</v>
      </c>
      <c r="F95" s="78">
        <f>12*0.975</f>
        <v>11.7</v>
      </c>
      <c r="G95" s="6">
        <f>12*0.95</f>
        <v>11.399999999999999</v>
      </c>
    </row>
    <row r="96" spans="1:7" ht="15.75" hidden="1">
      <c r="A96" s="33" t="s">
        <v>95</v>
      </c>
      <c r="B96" s="34">
        <v>4</v>
      </c>
      <c r="C96" s="34"/>
      <c r="D96" s="43"/>
      <c r="E96" s="44"/>
      <c r="F96" s="82">
        <f>F97+F100</f>
        <v>18381.665</v>
      </c>
      <c r="G96" s="82">
        <f>G97+G100</f>
        <v>18353.93</v>
      </c>
    </row>
    <row r="97" spans="1:7" ht="61.5" customHeight="1" hidden="1">
      <c r="A97" s="3" t="s">
        <v>139</v>
      </c>
      <c r="B97" s="5" t="s">
        <v>96</v>
      </c>
      <c r="C97" s="5" t="s">
        <v>32</v>
      </c>
      <c r="D97" s="4">
        <v>9902536</v>
      </c>
      <c r="E97" s="5"/>
      <c r="F97" s="78">
        <f>F98+F99</f>
        <v>1081.665</v>
      </c>
      <c r="G97" s="6">
        <f>G98+G99</f>
        <v>1053.93</v>
      </c>
    </row>
    <row r="98" spans="1:7" ht="31.5" hidden="1">
      <c r="A98" s="3" t="s">
        <v>118</v>
      </c>
      <c r="B98" s="5" t="s">
        <v>96</v>
      </c>
      <c r="C98" s="5" t="s">
        <v>32</v>
      </c>
      <c r="D98" s="4">
        <v>9902536</v>
      </c>
      <c r="E98" s="4">
        <v>200</v>
      </c>
      <c r="F98" s="78">
        <f>1015.2*0.975</f>
        <v>989.82</v>
      </c>
      <c r="G98" s="6">
        <f>1015.2*0.95</f>
        <v>964.44</v>
      </c>
    </row>
    <row r="99" spans="1:7" ht="31.5" hidden="1">
      <c r="A99" s="3" t="s">
        <v>118</v>
      </c>
      <c r="B99" s="5" t="s">
        <v>96</v>
      </c>
      <c r="C99" s="5" t="s">
        <v>32</v>
      </c>
      <c r="D99" s="4">
        <v>9902536</v>
      </c>
      <c r="E99" s="4">
        <v>200</v>
      </c>
      <c r="F99" s="78">
        <f>94.2*0.975</f>
        <v>91.845</v>
      </c>
      <c r="G99" s="6">
        <f>94.2*0.95</f>
        <v>89.49</v>
      </c>
    </row>
    <row r="100" spans="1:7" ht="15.75" hidden="1">
      <c r="A100" s="3" t="s">
        <v>124</v>
      </c>
      <c r="B100" s="5" t="s">
        <v>96</v>
      </c>
      <c r="C100" s="5" t="s">
        <v>35</v>
      </c>
      <c r="D100" s="4"/>
      <c r="E100" s="4"/>
      <c r="F100" s="78">
        <f>F101</f>
        <v>17300</v>
      </c>
      <c r="G100" s="6">
        <f>G101</f>
        <v>17300</v>
      </c>
    </row>
    <row r="101" spans="1:11" ht="15.75" hidden="1">
      <c r="A101" s="3" t="s">
        <v>125</v>
      </c>
      <c r="B101" s="5" t="s">
        <v>96</v>
      </c>
      <c r="C101" s="5" t="s">
        <v>35</v>
      </c>
      <c r="D101" s="4">
        <v>3150500</v>
      </c>
      <c r="E101" s="4"/>
      <c r="F101" s="78">
        <f>F102</f>
        <v>17300</v>
      </c>
      <c r="G101" s="6">
        <f>G102</f>
        <v>17300</v>
      </c>
      <c r="I101" s="69"/>
      <c r="K101" s="69"/>
    </row>
    <row r="102" spans="1:7" ht="31.5" hidden="1">
      <c r="A102" s="3" t="s">
        <v>118</v>
      </c>
      <c r="B102" s="5" t="s">
        <v>96</v>
      </c>
      <c r="C102" s="5" t="s">
        <v>35</v>
      </c>
      <c r="D102" s="4">
        <v>3150500</v>
      </c>
      <c r="E102" s="4">
        <v>200</v>
      </c>
      <c r="F102" s="78">
        <v>17300</v>
      </c>
      <c r="G102" s="6">
        <v>17300</v>
      </c>
    </row>
    <row r="103" spans="1:7" ht="15.75" hidden="1">
      <c r="A103" s="33" t="s">
        <v>34</v>
      </c>
      <c r="B103" s="34">
        <v>5</v>
      </c>
      <c r="C103" s="46"/>
      <c r="D103" s="47"/>
      <c r="E103" s="48"/>
      <c r="F103" s="83">
        <f>F104</f>
        <v>4737.4275</v>
      </c>
      <c r="G103" s="38">
        <f>G104</f>
        <v>4719.219999999999</v>
      </c>
    </row>
    <row r="104" spans="1:7" ht="31.5" hidden="1">
      <c r="A104" s="3" t="s">
        <v>116</v>
      </c>
      <c r="B104" s="5" t="s">
        <v>32</v>
      </c>
      <c r="C104" s="5" t="s">
        <v>32</v>
      </c>
      <c r="D104" s="76"/>
      <c r="E104" s="67"/>
      <c r="F104" s="78">
        <f aca="true" t="shared" si="3" ref="F104:G106">F105</f>
        <v>4737.4275</v>
      </c>
      <c r="G104" s="6">
        <f t="shared" si="3"/>
        <v>4719.219999999999</v>
      </c>
    </row>
    <row r="105" spans="1:7" ht="31.5" hidden="1">
      <c r="A105" s="3" t="s">
        <v>112</v>
      </c>
      <c r="B105" s="4" t="s">
        <v>32</v>
      </c>
      <c r="C105" s="5" t="s">
        <v>32</v>
      </c>
      <c r="D105" s="4">
        <v>1020000</v>
      </c>
      <c r="E105" s="5"/>
      <c r="F105" s="78">
        <f t="shared" si="3"/>
        <v>4737.4275</v>
      </c>
      <c r="G105" s="6">
        <f t="shared" si="3"/>
        <v>4719.219999999999</v>
      </c>
    </row>
    <row r="106" spans="1:7" ht="30.75" customHeight="1" hidden="1">
      <c r="A106" s="3" t="s">
        <v>113</v>
      </c>
      <c r="B106" s="4" t="s">
        <v>32</v>
      </c>
      <c r="C106" s="5" t="s">
        <v>32</v>
      </c>
      <c r="D106" s="4">
        <v>1020102</v>
      </c>
      <c r="E106" s="5"/>
      <c r="F106" s="78">
        <f t="shared" si="3"/>
        <v>4737.4275</v>
      </c>
      <c r="G106" s="6">
        <f t="shared" si="3"/>
        <v>4719.219999999999</v>
      </c>
    </row>
    <row r="107" spans="1:7" ht="30.75" customHeight="1" hidden="1">
      <c r="A107" s="3" t="s">
        <v>126</v>
      </c>
      <c r="B107" s="4" t="s">
        <v>32</v>
      </c>
      <c r="C107" s="5" t="s">
        <v>32</v>
      </c>
      <c r="D107" s="4">
        <v>1020102</v>
      </c>
      <c r="E107" s="5" t="s">
        <v>127</v>
      </c>
      <c r="F107" s="78">
        <f>(5592.5-733.6)*0.975</f>
        <v>4737.4275</v>
      </c>
      <c r="G107" s="6">
        <f>(5701.2-733.6)*0.95</f>
        <v>4719.219999999999</v>
      </c>
    </row>
    <row r="108" spans="1:7" ht="15.75" hidden="1">
      <c r="A108" s="33" t="s">
        <v>89</v>
      </c>
      <c r="B108" s="34">
        <v>6</v>
      </c>
      <c r="C108" s="46"/>
      <c r="D108" s="47"/>
      <c r="E108" s="48"/>
      <c r="F108" s="83">
        <f aca="true" t="shared" si="4" ref="F108:G111">F109</f>
        <v>9553.05</v>
      </c>
      <c r="G108" s="38">
        <f t="shared" si="4"/>
        <v>9308.1</v>
      </c>
    </row>
    <row r="109" spans="1:7" ht="31.5" hidden="1">
      <c r="A109" s="32" t="s">
        <v>90</v>
      </c>
      <c r="B109" s="30">
        <v>6</v>
      </c>
      <c r="C109" s="30">
        <v>3</v>
      </c>
      <c r="D109" s="7"/>
      <c r="E109" s="31"/>
      <c r="F109" s="78">
        <f t="shared" si="4"/>
        <v>9553.05</v>
      </c>
      <c r="G109" s="6">
        <f t="shared" si="4"/>
        <v>9308.1</v>
      </c>
    </row>
    <row r="110" spans="1:7" ht="15.75" hidden="1">
      <c r="A110" s="32" t="s">
        <v>128</v>
      </c>
      <c r="B110" s="30">
        <v>6</v>
      </c>
      <c r="C110" s="30">
        <v>3</v>
      </c>
      <c r="D110" s="7">
        <v>4100000</v>
      </c>
      <c r="E110" s="31"/>
      <c r="F110" s="78">
        <f t="shared" si="4"/>
        <v>9553.05</v>
      </c>
      <c r="G110" s="6">
        <f t="shared" si="4"/>
        <v>9308.1</v>
      </c>
    </row>
    <row r="111" spans="1:7" ht="15.75" hidden="1">
      <c r="A111" s="32" t="s">
        <v>94</v>
      </c>
      <c r="B111" s="30">
        <v>6</v>
      </c>
      <c r="C111" s="30">
        <v>3</v>
      </c>
      <c r="D111" s="7">
        <v>4100103</v>
      </c>
      <c r="E111" s="31"/>
      <c r="F111" s="78">
        <f t="shared" si="4"/>
        <v>9553.05</v>
      </c>
      <c r="G111" s="6">
        <f t="shared" si="4"/>
        <v>9308.1</v>
      </c>
    </row>
    <row r="112" spans="1:7" ht="31.5" hidden="1">
      <c r="A112" s="3" t="s">
        <v>118</v>
      </c>
      <c r="B112" s="30">
        <v>6</v>
      </c>
      <c r="C112" s="30">
        <v>3</v>
      </c>
      <c r="D112" s="7">
        <v>4100103</v>
      </c>
      <c r="E112" s="4">
        <v>200</v>
      </c>
      <c r="F112" s="78">
        <f>9798*0.975</f>
        <v>9553.05</v>
      </c>
      <c r="G112" s="6">
        <f>9798*0.95</f>
        <v>9308.1</v>
      </c>
    </row>
    <row r="113" spans="1:7" ht="15.75" hidden="1">
      <c r="A113" s="33" t="s">
        <v>47</v>
      </c>
      <c r="B113" s="46">
        <v>7</v>
      </c>
      <c r="C113" s="46"/>
      <c r="D113" s="47"/>
      <c r="E113" s="48"/>
      <c r="F113" s="83">
        <f>F114+F120+F133+F147</f>
        <v>1103962.86</v>
      </c>
      <c r="G113" s="38">
        <f>G114+G120+G133+G147</f>
        <v>1103037.02</v>
      </c>
    </row>
    <row r="114" spans="1:7" ht="15.75" hidden="1">
      <c r="A114" s="13" t="s">
        <v>76</v>
      </c>
      <c r="B114" s="20">
        <v>7</v>
      </c>
      <c r="C114" s="20">
        <v>1</v>
      </c>
      <c r="D114" s="21"/>
      <c r="E114" s="22"/>
      <c r="F114" s="80">
        <f>F117+F115</f>
        <v>422564.90249999997</v>
      </c>
      <c r="G114" s="19">
        <f>G117+G115</f>
        <v>418805.9799999999</v>
      </c>
    </row>
    <row r="115" spans="1:7" ht="60.75" customHeight="1" hidden="1">
      <c r="A115" s="3" t="s">
        <v>186</v>
      </c>
      <c r="B115" s="4" t="s">
        <v>36</v>
      </c>
      <c r="C115" s="4" t="s">
        <v>8</v>
      </c>
      <c r="D115" s="5" t="s">
        <v>187</v>
      </c>
      <c r="E115" s="4"/>
      <c r="F115" s="78">
        <f>F116</f>
        <v>146453.58</v>
      </c>
      <c r="G115" s="6">
        <f>G116</f>
        <v>142698.36</v>
      </c>
    </row>
    <row r="116" spans="1:7" ht="31.5" hidden="1">
      <c r="A116" s="3" t="s">
        <v>122</v>
      </c>
      <c r="B116" s="4" t="s">
        <v>36</v>
      </c>
      <c r="C116" s="4" t="s">
        <v>8</v>
      </c>
      <c r="D116" s="5" t="s">
        <v>187</v>
      </c>
      <c r="E116" s="4">
        <v>600</v>
      </c>
      <c r="F116" s="78">
        <f>150208.8*0.975</f>
        <v>146453.58</v>
      </c>
      <c r="G116" s="6">
        <f>150208.8*0.95</f>
        <v>142698.36</v>
      </c>
    </row>
    <row r="117" spans="1:7" ht="15.75" hidden="1">
      <c r="A117" s="13" t="s">
        <v>56</v>
      </c>
      <c r="B117" s="20">
        <v>7</v>
      </c>
      <c r="C117" s="20">
        <v>1</v>
      </c>
      <c r="D117" s="21">
        <v>4200000</v>
      </c>
      <c r="E117" s="22"/>
      <c r="F117" s="80">
        <f>F118</f>
        <v>276111.32249999995</v>
      </c>
      <c r="G117" s="19">
        <f>G118</f>
        <v>276107.61999999994</v>
      </c>
    </row>
    <row r="118" spans="1:7" ht="47.25" hidden="1">
      <c r="A118" s="3" t="s">
        <v>129</v>
      </c>
      <c r="B118" s="4" t="s">
        <v>36</v>
      </c>
      <c r="C118" s="4" t="s">
        <v>8</v>
      </c>
      <c r="D118" s="4">
        <v>4209900</v>
      </c>
      <c r="E118" s="4"/>
      <c r="F118" s="78">
        <f>F119</f>
        <v>276111.32249999995</v>
      </c>
      <c r="G118" s="6">
        <f>G119</f>
        <v>276107.61999999994</v>
      </c>
    </row>
    <row r="119" spans="1:7" ht="31.5" hidden="1">
      <c r="A119" s="3" t="s">
        <v>122</v>
      </c>
      <c r="B119" s="4" t="s">
        <v>36</v>
      </c>
      <c r="C119" s="4" t="s">
        <v>8</v>
      </c>
      <c r="D119" s="4">
        <v>4209900</v>
      </c>
      <c r="E119" s="4">
        <v>600</v>
      </c>
      <c r="F119" s="78">
        <f>283191.1*0.975</f>
        <v>276111.32249999995</v>
      </c>
      <c r="G119" s="6">
        <f>290639.6*0.95</f>
        <v>276107.61999999994</v>
      </c>
    </row>
    <row r="120" spans="1:7" ht="15.75" hidden="1">
      <c r="A120" s="13" t="s">
        <v>57</v>
      </c>
      <c r="B120" s="14">
        <v>7</v>
      </c>
      <c r="C120" s="14">
        <v>2</v>
      </c>
      <c r="D120" s="15"/>
      <c r="E120" s="16"/>
      <c r="F120" s="80">
        <f>F123+F126+F121</f>
        <v>601672.89</v>
      </c>
      <c r="G120" s="80">
        <f>G123+G126+G121</f>
        <v>605617.21</v>
      </c>
    </row>
    <row r="121" spans="1:7" ht="95.25" customHeight="1" hidden="1">
      <c r="A121" s="3" t="s">
        <v>188</v>
      </c>
      <c r="B121" s="4" t="s">
        <v>36</v>
      </c>
      <c r="C121" s="4" t="s">
        <v>9</v>
      </c>
      <c r="D121" s="5" t="s">
        <v>189</v>
      </c>
      <c r="E121" s="4"/>
      <c r="F121" s="78">
        <f>F122</f>
        <v>290702.49</v>
      </c>
      <c r="G121" s="6">
        <f>G122</f>
        <v>283248.58</v>
      </c>
    </row>
    <row r="122" spans="1:7" ht="31.5" hidden="1">
      <c r="A122" s="3" t="s">
        <v>122</v>
      </c>
      <c r="B122" s="4" t="s">
        <v>36</v>
      </c>
      <c r="C122" s="4" t="s">
        <v>9</v>
      </c>
      <c r="D122" s="5" t="s">
        <v>189</v>
      </c>
      <c r="E122" s="4">
        <v>600</v>
      </c>
      <c r="F122" s="78">
        <f>298156.4*0.975</f>
        <v>290702.49</v>
      </c>
      <c r="G122" s="6">
        <f>298156.4*0.95</f>
        <v>283248.58</v>
      </c>
    </row>
    <row r="123" spans="1:7" ht="31.5" hidden="1">
      <c r="A123" s="13" t="s">
        <v>58</v>
      </c>
      <c r="B123" s="14">
        <v>7</v>
      </c>
      <c r="C123" s="14">
        <v>2</v>
      </c>
      <c r="D123" s="15">
        <v>4210000</v>
      </c>
      <c r="E123" s="16"/>
      <c r="F123" s="80">
        <f>F124</f>
        <v>198110.9325</v>
      </c>
      <c r="G123" s="19">
        <f>G124</f>
        <v>200008.915</v>
      </c>
    </row>
    <row r="124" spans="1:7" ht="31.5" hidden="1">
      <c r="A124" s="13" t="s">
        <v>101</v>
      </c>
      <c r="B124" s="14">
        <v>7</v>
      </c>
      <c r="C124" s="14">
        <v>2</v>
      </c>
      <c r="D124" s="15">
        <v>4219900</v>
      </c>
      <c r="E124" s="16"/>
      <c r="F124" s="80">
        <f>F125</f>
        <v>198110.9325</v>
      </c>
      <c r="G124" s="19">
        <f>G125</f>
        <v>200008.915</v>
      </c>
    </row>
    <row r="125" spans="1:7" ht="31.5" hidden="1">
      <c r="A125" s="3" t="s">
        <v>122</v>
      </c>
      <c r="B125" s="4" t="s">
        <v>36</v>
      </c>
      <c r="C125" s="4" t="s">
        <v>9</v>
      </c>
      <c r="D125" s="4" t="s">
        <v>130</v>
      </c>
      <c r="E125" s="4">
        <v>600</v>
      </c>
      <c r="F125" s="78">
        <f>203190.7*0.975</f>
        <v>198110.9325</v>
      </c>
      <c r="G125" s="6">
        <f>210535.7*0.95</f>
        <v>200008.915</v>
      </c>
    </row>
    <row r="126" spans="1:7" ht="15.75" hidden="1">
      <c r="A126" s="13" t="s">
        <v>59</v>
      </c>
      <c r="B126" s="14">
        <v>7</v>
      </c>
      <c r="C126" s="14">
        <v>2</v>
      </c>
      <c r="D126" s="15">
        <v>4230000</v>
      </c>
      <c r="E126" s="16"/>
      <c r="F126" s="80">
        <f>F127+F129+F131</f>
        <v>112859.4675</v>
      </c>
      <c r="G126" s="19">
        <f>G127+G129+G131</f>
        <v>122359.715</v>
      </c>
    </row>
    <row r="127" spans="1:7" ht="111" customHeight="1" hidden="1">
      <c r="A127" s="13" t="s">
        <v>102</v>
      </c>
      <c r="B127" s="4" t="s">
        <v>36</v>
      </c>
      <c r="C127" s="4" t="s">
        <v>9</v>
      </c>
      <c r="D127" s="4">
        <v>4239910</v>
      </c>
      <c r="E127" s="4"/>
      <c r="F127" s="78">
        <f>F128</f>
        <v>41695.68</v>
      </c>
      <c r="G127" s="6">
        <f>G128</f>
        <v>44522.51</v>
      </c>
    </row>
    <row r="128" spans="1:7" ht="31.5" hidden="1">
      <c r="A128" s="3" t="s">
        <v>122</v>
      </c>
      <c r="B128" s="4" t="s">
        <v>36</v>
      </c>
      <c r="C128" s="4" t="s">
        <v>9</v>
      </c>
      <c r="D128" s="4">
        <v>4239910</v>
      </c>
      <c r="E128" s="4">
        <v>600</v>
      </c>
      <c r="F128" s="78">
        <f>42764.8*0.975</f>
        <v>41695.68</v>
      </c>
      <c r="G128" s="6">
        <f>46865.8*0.95</f>
        <v>44522.51</v>
      </c>
    </row>
    <row r="129" spans="1:7" ht="62.25" customHeight="1" hidden="1">
      <c r="A129" s="13" t="s">
        <v>103</v>
      </c>
      <c r="B129" s="4" t="s">
        <v>36</v>
      </c>
      <c r="C129" s="4" t="s">
        <v>9</v>
      </c>
      <c r="D129" s="4">
        <v>4239920</v>
      </c>
      <c r="E129" s="4"/>
      <c r="F129" s="78">
        <f>F130</f>
        <v>37862.6625</v>
      </c>
      <c r="G129" s="6">
        <f>G130</f>
        <v>41309.135</v>
      </c>
    </row>
    <row r="130" spans="1:7" ht="31.5" hidden="1">
      <c r="A130" s="3" t="s">
        <v>122</v>
      </c>
      <c r="B130" s="4" t="s">
        <v>36</v>
      </c>
      <c r="C130" s="4" t="s">
        <v>9</v>
      </c>
      <c r="D130" s="4">
        <v>4239920</v>
      </c>
      <c r="E130" s="4">
        <v>600</v>
      </c>
      <c r="F130" s="78">
        <f>38833.5*0.975</f>
        <v>37862.6625</v>
      </c>
      <c r="G130" s="6">
        <f>43483.3*0.95</f>
        <v>41309.135</v>
      </c>
    </row>
    <row r="131" spans="1:7" ht="63" hidden="1">
      <c r="A131" s="13" t="s">
        <v>65</v>
      </c>
      <c r="B131" s="4" t="s">
        <v>36</v>
      </c>
      <c r="C131" s="4" t="s">
        <v>9</v>
      </c>
      <c r="D131" s="4">
        <v>4239930</v>
      </c>
      <c r="E131" s="4"/>
      <c r="F131" s="78">
        <f>F132</f>
        <v>33301.125</v>
      </c>
      <c r="G131" s="6">
        <f>G132</f>
        <v>36528.07</v>
      </c>
    </row>
    <row r="132" spans="1:7" ht="31.5" hidden="1">
      <c r="A132" s="3" t="s">
        <v>122</v>
      </c>
      <c r="B132" s="4" t="s">
        <v>36</v>
      </c>
      <c r="C132" s="4" t="s">
        <v>9</v>
      </c>
      <c r="D132" s="4">
        <v>4239930</v>
      </c>
      <c r="E132" s="4">
        <v>600</v>
      </c>
      <c r="F132" s="78">
        <f>34155*0.975</f>
        <v>33301.125</v>
      </c>
      <c r="G132" s="6">
        <f>38450.6*0.95</f>
        <v>36528.07</v>
      </c>
    </row>
    <row r="133" spans="1:7" ht="15.75" hidden="1">
      <c r="A133" s="13" t="s">
        <v>60</v>
      </c>
      <c r="B133" s="14">
        <v>7</v>
      </c>
      <c r="C133" s="14">
        <v>7</v>
      </c>
      <c r="D133" s="15"/>
      <c r="E133" s="22"/>
      <c r="F133" s="78">
        <f>F134+F137+F140+F145</f>
        <v>18374.265000000003</v>
      </c>
      <c r="G133" s="6">
        <f>G134+G137+G140+G145</f>
        <v>18546.28</v>
      </c>
    </row>
    <row r="134" spans="1:7" ht="15.75" hidden="1">
      <c r="A134" s="13" t="s">
        <v>77</v>
      </c>
      <c r="B134" s="14">
        <v>7</v>
      </c>
      <c r="C134" s="14">
        <v>7</v>
      </c>
      <c r="D134" s="15">
        <v>4310000</v>
      </c>
      <c r="E134" s="22"/>
      <c r="F134" s="78">
        <f>F135</f>
        <v>756.6</v>
      </c>
      <c r="G134" s="6">
        <f>G135</f>
        <v>737.5799999999999</v>
      </c>
    </row>
    <row r="135" spans="1:7" ht="47.25" hidden="1">
      <c r="A135" s="13" t="s">
        <v>104</v>
      </c>
      <c r="B135" s="14">
        <v>7</v>
      </c>
      <c r="C135" s="14">
        <v>7</v>
      </c>
      <c r="D135" s="15">
        <v>4310100</v>
      </c>
      <c r="E135" s="22"/>
      <c r="F135" s="78">
        <f>F136</f>
        <v>756.6</v>
      </c>
      <c r="G135" s="6">
        <f>G136</f>
        <v>737.5799999999999</v>
      </c>
    </row>
    <row r="136" spans="1:7" ht="15.75" hidden="1">
      <c r="A136" s="13" t="s">
        <v>14</v>
      </c>
      <c r="B136" s="14">
        <v>7</v>
      </c>
      <c r="C136" s="14">
        <v>7</v>
      </c>
      <c r="D136" s="15">
        <v>4310100</v>
      </c>
      <c r="E136" s="22">
        <v>500</v>
      </c>
      <c r="F136" s="78">
        <f>776*0.975</f>
        <v>756.6</v>
      </c>
      <c r="G136" s="6">
        <f>776.4*0.95</f>
        <v>737.5799999999999</v>
      </c>
    </row>
    <row r="137" spans="1:7" ht="31.5" hidden="1">
      <c r="A137" s="13" t="s">
        <v>78</v>
      </c>
      <c r="B137" s="14">
        <v>7</v>
      </c>
      <c r="C137" s="14">
        <v>7</v>
      </c>
      <c r="D137" s="15">
        <v>4320000</v>
      </c>
      <c r="E137" s="22"/>
      <c r="F137" s="78">
        <f>F138</f>
        <v>1301.625</v>
      </c>
      <c r="G137" s="6">
        <f>G138</f>
        <v>1290.955</v>
      </c>
    </row>
    <row r="138" spans="1:7" ht="15.75" hidden="1">
      <c r="A138" s="13" t="s">
        <v>61</v>
      </c>
      <c r="B138" s="14">
        <v>7</v>
      </c>
      <c r="C138" s="14">
        <v>7</v>
      </c>
      <c r="D138" s="15">
        <v>4320200</v>
      </c>
      <c r="E138" s="16"/>
      <c r="F138" s="78">
        <f>F139</f>
        <v>1301.625</v>
      </c>
      <c r="G138" s="6">
        <f>G139</f>
        <v>1290.955</v>
      </c>
    </row>
    <row r="139" spans="1:7" ht="15.75" hidden="1">
      <c r="A139" s="13" t="s">
        <v>27</v>
      </c>
      <c r="B139" s="4" t="s">
        <v>36</v>
      </c>
      <c r="C139" s="4" t="s">
        <v>36</v>
      </c>
      <c r="D139" s="4">
        <v>4320200</v>
      </c>
      <c r="E139" s="4">
        <v>600</v>
      </c>
      <c r="F139" s="78">
        <f>1335*0.975</f>
        <v>1301.625</v>
      </c>
      <c r="G139" s="6">
        <f>1358.9*0.95</f>
        <v>1290.955</v>
      </c>
    </row>
    <row r="140" spans="1:7" ht="16.5" customHeight="1" hidden="1">
      <c r="A140" s="13" t="s">
        <v>26</v>
      </c>
      <c r="B140" s="14">
        <v>7</v>
      </c>
      <c r="C140" s="14">
        <v>7</v>
      </c>
      <c r="D140" s="15">
        <v>4329900</v>
      </c>
      <c r="E140" s="16"/>
      <c r="F140" s="78">
        <f>F141+F142+F143+F144</f>
        <v>14306.175000000001</v>
      </c>
      <c r="G140" s="6">
        <f>G141+G142+G143+G144</f>
        <v>14494.625</v>
      </c>
    </row>
    <row r="141" spans="1:7" ht="61.5" customHeight="1" hidden="1">
      <c r="A141" s="3" t="s">
        <v>117</v>
      </c>
      <c r="B141" s="4" t="s">
        <v>36</v>
      </c>
      <c r="C141" s="4" t="s">
        <v>36</v>
      </c>
      <c r="D141" s="4" t="s">
        <v>131</v>
      </c>
      <c r="E141" s="4">
        <v>100</v>
      </c>
      <c r="F141" s="78">
        <f>2607.8*0.975</f>
        <v>2542.605</v>
      </c>
      <c r="G141" s="6">
        <f>2724.1*0.95</f>
        <v>2587.895</v>
      </c>
    </row>
    <row r="142" spans="1:7" ht="31.5" hidden="1">
      <c r="A142" s="3" t="s">
        <v>118</v>
      </c>
      <c r="B142" s="4" t="s">
        <v>36</v>
      </c>
      <c r="C142" s="4" t="s">
        <v>36</v>
      </c>
      <c r="D142" s="4" t="s">
        <v>131</v>
      </c>
      <c r="E142" s="4">
        <v>200</v>
      </c>
      <c r="F142" s="78">
        <f>765.8*0.975</f>
        <v>746.655</v>
      </c>
      <c r="G142" s="6">
        <f>778.6*0.95</f>
        <v>739.67</v>
      </c>
    </row>
    <row r="143" spans="1:7" ht="31.5" hidden="1">
      <c r="A143" s="3" t="s">
        <v>122</v>
      </c>
      <c r="B143" s="4" t="s">
        <v>36</v>
      </c>
      <c r="C143" s="4" t="s">
        <v>36</v>
      </c>
      <c r="D143" s="4" t="s">
        <v>131</v>
      </c>
      <c r="E143" s="4">
        <v>600</v>
      </c>
      <c r="F143" s="78">
        <f>11257.5*0.975</f>
        <v>10976.0625</v>
      </c>
      <c r="G143" s="6">
        <f>11712.9*0.95</f>
        <v>11127.255</v>
      </c>
    </row>
    <row r="144" spans="1:7" ht="15.75" hidden="1">
      <c r="A144" s="3" t="s">
        <v>120</v>
      </c>
      <c r="B144" s="4" t="s">
        <v>36</v>
      </c>
      <c r="C144" s="4" t="s">
        <v>36</v>
      </c>
      <c r="D144" s="4" t="s">
        <v>131</v>
      </c>
      <c r="E144" s="4">
        <v>800</v>
      </c>
      <c r="F144" s="78">
        <f>(9+32.9)*0.975</f>
        <v>40.8525</v>
      </c>
      <c r="G144" s="6">
        <f>(9+32.9)*0.95</f>
        <v>39.805</v>
      </c>
    </row>
    <row r="145" spans="1:7" ht="31.5" hidden="1">
      <c r="A145" s="3" t="s">
        <v>147</v>
      </c>
      <c r="B145" s="4" t="s">
        <v>36</v>
      </c>
      <c r="C145" s="4" t="s">
        <v>36</v>
      </c>
      <c r="D145" s="101">
        <v>7950200</v>
      </c>
      <c r="E145" s="67"/>
      <c r="F145" s="78">
        <f>F146</f>
        <v>2009.865</v>
      </c>
      <c r="G145" s="6">
        <f>G146</f>
        <v>2023.12</v>
      </c>
    </row>
    <row r="146" spans="1:7" ht="31.5" hidden="1">
      <c r="A146" s="3" t="s">
        <v>122</v>
      </c>
      <c r="B146" s="4" t="s">
        <v>36</v>
      </c>
      <c r="C146" s="4" t="s">
        <v>36</v>
      </c>
      <c r="D146" s="101">
        <v>7950200</v>
      </c>
      <c r="E146" s="4">
        <v>600</v>
      </c>
      <c r="F146" s="78">
        <f>2061.4*0.975</f>
        <v>2009.865</v>
      </c>
      <c r="G146" s="6">
        <f>2129.6*0.95</f>
        <v>2023.12</v>
      </c>
    </row>
    <row r="147" spans="1:7" ht="15.75" hidden="1">
      <c r="A147" s="13" t="s">
        <v>79</v>
      </c>
      <c r="B147" s="14">
        <v>7</v>
      </c>
      <c r="C147" s="14">
        <v>9</v>
      </c>
      <c r="D147" s="21"/>
      <c r="E147" s="16"/>
      <c r="F147" s="78">
        <f>F148+F154+F159</f>
        <v>61350.8025</v>
      </c>
      <c r="G147" s="78">
        <f>G148+G154+G159</f>
        <v>60067.549999999996</v>
      </c>
    </row>
    <row r="148" spans="1:11" ht="31.5" hidden="1">
      <c r="A148" s="13" t="s">
        <v>62</v>
      </c>
      <c r="B148" s="14">
        <v>7</v>
      </c>
      <c r="C148" s="20">
        <v>9</v>
      </c>
      <c r="D148" s="21">
        <v>4350000</v>
      </c>
      <c r="E148" s="16"/>
      <c r="F148" s="78">
        <f>F149</f>
        <v>28666.559999999998</v>
      </c>
      <c r="G148" s="6">
        <f>G149</f>
        <v>27782.465</v>
      </c>
      <c r="I148" s="69"/>
      <c r="K148" s="69"/>
    </row>
    <row r="149" spans="1:7" ht="31.5" hidden="1">
      <c r="A149" s="13" t="s">
        <v>101</v>
      </c>
      <c r="B149" s="14">
        <v>7</v>
      </c>
      <c r="C149" s="20">
        <v>9</v>
      </c>
      <c r="D149" s="21">
        <v>4359900</v>
      </c>
      <c r="E149" s="22"/>
      <c r="F149" s="78">
        <f>F150+F151+F152+F153</f>
        <v>28666.559999999998</v>
      </c>
      <c r="G149" s="6">
        <f>G150+G151+G152+G153</f>
        <v>27782.465</v>
      </c>
    </row>
    <row r="150" spans="1:7" ht="63" customHeight="1" hidden="1">
      <c r="A150" s="3" t="s">
        <v>117</v>
      </c>
      <c r="B150" s="4" t="s">
        <v>36</v>
      </c>
      <c r="C150" s="4" t="s">
        <v>35</v>
      </c>
      <c r="D150" s="4" t="s">
        <v>132</v>
      </c>
      <c r="E150" s="4">
        <v>100</v>
      </c>
      <c r="F150" s="78">
        <f>3351.2*0.975</f>
        <v>3267.4199999999996</v>
      </c>
      <c r="G150" s="6">
        <f>3379.2*0.95</f>
        <v>3210.24</v>
      </c>
    </row>
    <row r="151" spans="1:7" ht="31.5" hidden="1">
      <c r="A151" s="3" t="s">
        <v>118</v>
      </c>
      <c r="B151" s="4" t="s">
        <v>36</v>
      </c>
      <c r="C151" s="4" t="s">
        <v>35</v>
      </c>
      <c r="D151" s="4" t="s">
        <v>132</v>
      </c>
      <c r="E151" s="4">
        <v>200</v>
      </c>
      <c r="F151" s="78">
        <f>7072.7*0.975</f>
        <v>6895.8825</v>
      </c>
      <c r="G151" s="6">
        <f>6797.2*0.95</f>
        <v>6457.339999999999</v>
      </c>
    </row>
    <row r="152" spans="1:7" ht="31.5" hidden="1">
      <c r="A152" s="3" t="s">
        <v>122</v>
      </c>
      <c r="B152" s="4" t="s">
        <v>36</v>
      </c>
      <c r="C152" s="4" t="s">
        <v>35</v>
      </c>
      <c r="D152" s="4" t="s">
        <v>132</v>
      </c>
      <c r="E152" s="4">
        <v>600</v>
      </c>
      <c r="F152" s="78">
        <f>(2177.6+16025.3+40)*0.975</f>
        <v>17786.827499999996</v>
      </c>
      <c r="G152" s="6">
        <f>(2198.9+16134.6)*0.95</f>
        <v>17416.825</v>
      </c>
    </row>
    <row r="153" spans="1:7" ht="15.75" hidden="1">
      <c r="A153" s="3" t="s">
        <v>120</v>
      </c>
      <c r="B153" s="4" t="s">
        <v>36</v>
      </c>
      <c r="C153" s="4" t="s">
        <v>35</v>
      </c>
      <c r="D153" s="4" t="s">
        <v>132</v>
      </c>
      <c r="E153" s="4">
        <v>800</v>
      </c>
      <c r="F153" s="78">
        <f>(0.4+734.4)*0.975</f>
        <v>716.43</v>
      </c>
      <c r="G153" s="6">
        <f>(0.4+734.4)*0.95</f>
        <v>698.06</v>
      </c>
    </row>
    <row r="154" spans="1:7" ht="63" hidden="1">
      <c r="A154" s="13" t="s">
        <v>80</v>
      </c>
      <c r="B154" s="14">
        <v>7</v>
      </c>
      <c r="C154" s="20">
        <v>9</v>
      </c>
      <c r="D154" s="21">
        <v>4520000</v>
      </c>
      <c r="E154" s="22"/>
      <c r="F154" s="78">
        <f>F155</f>
        <v>27934.53</v>
      </c>
      <c r="G154" s="6">
        <f>G155</f>
        <v>27487.015</v>
      </c>
    </row>
    <row r="155" spans="1:7" ht="15.75" customHeight="1" hidden="1">
      <c r="A155" s="13" t="s">
        <v>26</v>
      </c>
      <c r="B155" s="14">
        <v>7</v>
      </c>
      <c r="C155" s="14">
        <v>9</v>
      </c>
      <c r="D155" s="15">
        <v>4529900</v>
      </c>
      <c r="E155" s="16"/>
      <c r="F155" s="78">
        <f>F157+F156+F158</f>
        <v>27934.53</v>
      </c>
      <c r="G155" s="6">
        <f>G157+G156+G158</f>
        <v>27487.015</v>
      </c>
    </row>
    <row r="156" spans="1:7" ht="62.25" customHeight="1" hidden="1">
      <c r="A156" s="3" t="s">
        <v>117</v>
      </c>
      <c r="B156" s="5" t="s">
        <v>36</v>
      </c>
      <c r="C156" s="5" t="s">
        <v>35</v>
      </c>
      <c r="D156" s="4">
        <v>4529900</v>
      </c>
      <c r="E156" s="4">
        <v>100</v>
      </c>
      <c r="F156" s="78">
        <f>21910.2*0.975</f>
        <v>21362.445</v>
      </c>
      <c r="G156" s="6">
        <f>22158.7*0.95</f>
        <v>21050.765</v>
      </c>
    </row>
    <row r="157" spans="1:7" ht="31.5" hidden="1">
      <c r="A157" s="3" t="s">
        <v>118</v>
      </c>
      <c r="B157" s="5" t="s">
        <v>36</v>
      </c>
      <c r="C157" s="5" t="s">
        <v>35</v>
      </c>
      <c r="D157" s="4">
        <v>4529900</v>
      </c>
      <c r="E157" s="4">
        <v>200</v>
      </c>
      <c r="F157" s="78">
        <f>6737.7*0.975</f>
        <v>6569.2575</v>
      </c>
      <c r="G157" s="6">
        <f>6772.1*0.95</f>
        <v>6433.495</v>
      </c>
    </row>
    <row r="158" spans="1:7" ht="15.75" hidden="1">
      <c r="A158" s="3" t="s">
        <v>120</v>
      </c>
      <c r="B158" s="5" t="s">
        <v>36</v>
      </c>
      <c r="C158" s="5" t="s">
        <v>35</v>
      </c>
      <c r="D158" s="4">
        <v>4529900</v>
      </c>
      <c r="E158" s="4">
        <v>800</v>
      </c>
      <c r="F158" s="78">
        <f>2.9*0.975</f>
        <v>2.8274999999999997</v>
      </c>
      <c r="G158" s="6">
        <f>2.9*0.95</f>
        <v>2.755</v>
      </c>
    </row>
    <row r="159" spans="1:7" ht="47.25" hidden="1">
      <c r="A159" s="3" t="s">
        <v>105</v>
      </c>
      <c r="B159" s="4" t="s">
        <v>36</v>
      </c>
      <c r="C159" s="4" t="s">
        <v>35</v>
      </c>
      <c r="D159" s="5" t="s">
        <v>63</v>
      </c>
      <c r="E159" s="4"/>
      <c r="F159" s="80">
        <f>F161+F160</f>
        <v>4749.7125</v>
      </c>
      <c r="G159" s="19">
        <f>G161+G160</f>
        <v>4798.07</v>
      </c>
    </row>
    <row r="160" spans="1:7" ht="60.75" customHeight="1" hidden="1">
      <c r="A160" s="3" t="s">
        <v>117</v>
      </c>
      <c r="B160" s="4" t="s">
        <v>36</v>
      </c>
      <c r="C160" s="4" t="s">
        <v>35</v>
      </c>
      <c r="D160" s="5" t="s">
        <v>63</v>
      </c>
      <c r="E160" s="4">
        <v>100</v>
      </c>
      <c r="F160" s="78">
        <f>(3722.4+187.1)*0.975</f>
        <v>3811.7625</v>
      </c>
      <c r="G160" s="6">
        <f>(3722.4+366.2)*0.95</f>
        <v>3884.1699999999996</v>
      </c>
    </row>
    <row r="161" spans="1:7" ht="31.5" hidden="1">
      <c r="A161" s="3" t="s">
        <v>118</v>
      </c>
      <c r="B161" s="4" t="s">
        <v>36</v>
      </c>
      <c r="C161" s="4" t="s">
        <v>35</v>
      </c>
      <c r="D161" s="5" t="s">
        <v>63</v>
      </c>
      <c r="E161" s="4">
        <v>200</v>
      </c>
      <c r="F161" s="78">
        <f>962*0.975</f>
        <v>937.9499999999999</v>
      </c>
      <c r="G161" s="6">
        <f>962*0.95</f>
        <v>913.9</v>
      </c>
    </row>
    <row r="162" spans="1:7" ht="15.75" hidden="1">
      <c r="A162" s="33" t="s">
        <v>81</v>
      </c>
      <c r="B162" s="34">
        <v>8</v>
      </c>
      <c r="C162" s="34"/>
      <c r="D162" s="43"/>
      <c r="E162" s="44"/>
      <c r="F162" s="82">
        <f>F163+F179</f>
        <v>68438.955</v>
      </c>
      <c r="G162" s="45">
        <f>G163+G179</f>
        <v>76001.425</v>
      </c>
    </row>
    <row r="163" spans="1:7" ht="15.75" hidden="1">
      <c r="A163" s="13" t="s">
        <v>98</v>
      </c>
      <c r="B163" s="14">
        <v>8</v>
      </c>
      <c r="C163" s="14">
        <v>1</v>
      </c>
      <c r="D163" s="15"/>
      <c r="E163" s="16"/>
      <c r="F163" s="84">
        <f>F166+F164</f>
        <v>64104.592500000006</v>
      </c>
      <c r="G163" s="84">
        <f>G166+G164</f>
        <v>71224.445</v>
      </c>
    </row>
    <row r="164" spans="1:7" ht="47.25" hidden="1">
      <c r="A164" s="3" t="s">
        <v>190</v>
      </c>
      <c r="B164" s="4" t="s">
        <v>33</v>
      </c>
      <c r="C164" s="4" t="s">
        <v>8</v>
      </c>
      <c r="D164" s="5" t="s">
        <v>191</v>
      </c>
      <c r="E164" s="4"/>
      <c r="F164" s="78">
        <f>F165</f>
        <v>27.105</v>
      </c>
      <c r="G164" s="6">
        <f>G165</f>
        <v>26.41</v>
      </c>
    </row>
    <row r="165" spans="1:7" ht="31.5" hidden="1">
      <c r="A165" s="3" t="s">
        <v>122</v>
      </c>
      <c r="B165" s="4" t="s">
        <v>33</v>
      </c>
      <c r="C165" s="4" t="s">
        <v>8</v>
      </c>
      <c r="D165" s="5" t="s">
        <v>191</v>
      </c>
      <c r="E165" s="4">
        <v>600</v>
      </c>
      <c r="F165" s="78">
        <f>27.8*0.975</f>
        <v>27.105</v>
      </c>
      <c r="G165" s="6">
        <f>27.8*0.95</f>
        <v>26.41</v>
      </c>
    </row>
    <row r="166" spans="1:7" ht="31.5" hidden="1">
      <c r="A166" s="13" t="s">
        <v>28</v>
      </c>
      <c r="B166" s="14">
        <v>8</v>
      </c>
      <c r="C166" s="14">
        <v>1</v>
      </c>
      <c r="D166" s="15">
        <v>4400000</v>
      </c>
      <c r="E166" s="16"/>
      <c r="F166" s="78">
        <f>F171+F167+F176+F169</f>
        <v>64077.4875</v>
      </c>
      <c r="G166" s="78">
        <f>G171+G167+G176+G169</f>
        <v>71198.035</v>
      </c>
    </row>
    <row r="167" spans="1:11" ht="47.25" hidden="1">
      <c r="A167" s="3" t="s">
        <v>106</v>
      </c>
      <c r="B167" s="4" t="s">
        <v>33</v>
      </c>
      <c r="C167" s="4" t="s">
        <v>8</v>
      </c>
      <c r="D167" s="9">
        <v>4400100</v>
      </c>
      <c r="E167" s="16"/>
      <c r="F167" s="78">
        <f>F168</f>
        <v>1950</v>
      </c>
      <c r="G167" s="6">
        <f>G168</f>
        <v>1900</v>
      </c>
      <c r="I167" s="69"/>
      <c r="K167" s="69"/>
    </row>
    <row r="168" spans="1:7" ht="31.5" hidden="1">
      <c r="A168" s="3" t="s">
        <v>118</v>
      </c>
      <c r="B168" s="4" t="s">
        <v>33</v>
      </c>
      <c r="C168" s="4" t="s">
        <v>8</v>
      </c>
      <c r="D168" s="9">
        <v>4400100</v>
      </c>
      <c r="E168" s="4">
        <v>200</v>
      </c>
      <c r="F168" s="78">
        <f>2000*0.975</f>
        <v>1950</v>
      </c>
      <c r="G168" s="6">
        <f>2000*0.95</f>
        <v>1900</v>
      </c>
    </row>
    <row r="169" spans="1:7" ht="31.5" hidden="1">
      <c r="A169" s="3" t="s">
        <v>115</v>
      </c>
      <c r="B169" s="4" t="s">
        <v>33</v>
      </c>
      <c r="C169" s="4" t="s">
        <v>8</v>
      </c>
      <c r="D169" s="4">
        <v>4400201</v>
      </c>
      <c r="E169" s="4"/>
      <c r="F169" s="78">
        <f>F170</f>
        <v>41.925</v>
      </c>
      <c r="G169" s="6">
        <f>G170</f>
        <v>40.85</v>
      </c>
    </row>
    <row r="170" spans="1:11" ht="31.5" hidden="1">
      <c r="A170" s="3" t="s">
        <v>122</v>
      </c>
      <c r="B170" s="4" t="s">
        <v>33</v>
      </c>
      <c r="C170" s="4" t="s">
        <v>8</v>
      </c>
      <c r="D170" s="4">
        <v>4400201</v>
      </c>
      <c r="E170" s="4">
        <v>600</v>
      </c>
      <c r="F170" s="78">
        <f>43*0.975</f>
        <v>41.925</v>
      </c>
      <c r="G170" s="6">
        <f>43*0.95</f>
        <v>40.85</v>
      </c>
      <c r="I170" s="69"/>
      <c r="K170" s="69"/>
    </row>
    <row r="171" spans="1:7" ht="31.5" hidden="1">
      <c r="A171" s="13" t="s">
        <v>107</v>
      </c>
      <c r="B171" s="14">
        <v>8</v>
      </c>
      <c r="C171" s="14">
        <v>1</v>
      </c>
      <c r="D171" s="15">
        <v>4409900</v>
      </c>
      <c r="E171" s="16"/>
      <c r="F171" s="78">
        <f>F172+F173+F174+F175</f>
        <v>43893.2325</v>
      </c>
      <c r="G171" s="6">
        <f>G172+G173+G174+G175</f>
        <v>48766.445</v>
      </c>
    </row>
    <row r="172" spans="1:7" ht="62.25" customHeight="1" hidden="1">
      <c r="A172" s="3" t="s">
        <v>117</v>
      </c>
      <c r="B172" s="4" t="s">
        <v>33</v>
      </c>
      <c r="C172" s="4" t="s">
        <v>8</v>
      </c>
      <c r="D172" s="4" t="s">
        <v>121</v>
      </c>
      <c r="E172" s="4">
        <v>100</v>
      </c>
      <c r="F172" s="78">
        <f>1642.2*0.975</f>
        <v>1601.145</v>
      </c>
      <c r="G172" s="6">
        <f>1928*0.95</f>
        <v>1831.6</v>
      </c>
    </row>
    <row r="173" spans="1:7" ht="31.5" hidden="1">
      <c r="A173" s="3" t="s">
        <v>118</v>
      </c>
      <c r="B173" s="4" t="s">
        <v>33</v>
      </c>
      <c r="C173" s="4" t="s">
        <v>8</v>
      </c>
      <c r="D173" s="4" t="s">
        <v>121</v>
      </c>
      <c r="E173" s="4">
        <v>200</v>
      </c>
      <c r="F173" s="78">
        <f>1175.4*0.975</f>
        <v>1146.015</v>
      </c>
      <c r="G173" s="6">
        <f>1196.5*0.95</f>
        <v>1136.675</v>
      </c>
    </row>
    <row r="174" spans="1:7" ht="31.5" hidden="1">
      <c r="A174" s="3" t="s">
        <v>122</v>
      </c>
      <c r="B174" s="4" t="s">
        <v>33</v>
      </c>
      <c r="C174" s="4" t="s">
        <v>8</v>
      </c>
      <c r="D174" s="4" t="s">
        <v>121</v>
      </c>
      <c r="E174" s="4">
        <v>600</v>
      </c>
      <c r="F174" s="78">
        <f>42132*0.975</f>
        <v>41078.7</v>
      </c>
      <c r="G174" s="6">
        <f>48139.5*0.95</f>
        <v>45732.525</v>
      </c>
    </row>
    <row r="175" spans="1:7" ht="15.75" hidden="1">
      <c r="A175" s="3" t="s">
        <v>120</v>
      </c>
      <c r="B175" s="4" t="s">
        <v>33</v>
      </c>
      <c r="C175" s="4" t="s">
        <v>8</v>
      </c>
      <c r="D175" s="4" t="s">
        <v>121</v>
      </c>
      <c r="E175" s="4">
        <v>800</v>
      </c>
      <c r="F175" s="78">
        <f>(1+68.1)*0.975</f>
        <v>67.37249999999999</v>
      </c>
      <c r="G175" s="6">
        <f>(1+68.1)*0.95</f>
        <v>65.645</v>
      </c>
    </row>
    <row r="176" spans="1:7" ht="15.75" hidden="1">
      <c r="A176" s="32" t="s">
        <v>108</v>
      </c>
      <c r="B176" s="10" t="s">
        <v>33</v>
      </c>
      <c r="C176" s="10" t="s">
        <v>8</v>
      </c>
      <c r="D176" s="10" t="s">
        <v>109</v>
      </c>
      <c r="E176" s="10"/>
      <c r="F176" s="80">
        <f>F177</f>
        <v>18192.329999999998</v>
      </c>
      <c r="G176" s="19">
        <f>G177</f>
        <v>20490.739999999998</v>
      </c>
    </row>
    <row r="177" spans="1:7" ht="31.5" hidden="1">
      <c r="A177" s="3" t="s">
        <v>107</v>
      </c>
      <c r="B177" s="10" t="s">
        <v>33</v>
      </c>
      <c r="C177" s="10" t="s">
        <v>8</v>
      </c>
      <c r="D177" s="10" t="s">
        <v>110</v>
      </c>
      <c r="E177" s="10"/>
      <c r="F177" s="80">
        <f>F178</f>
        <v>18192.329999999998</v>
      </c>
      <c r="G177" s="19">
        <f>G178</f>
        <v>20490.739999999998</v>
      </c>
    </row>
    <row r="178" spans="1:7" ht="31.5" hidden="1">
      <c r="A178" s="3" t="s">
        <v>122</v>
      </c>
      <c r="B178" s="10" t="s">
        <v>33</v>
      </c>
      <c r="C178" s="10" t="s">
        <v>8</v>
      </c>
      <c r="D178" s="10" t="s">
        <v>110</v>
      </c>
      <c r="E178" s="4">
        <v>600</v>
      </c>
      <c r="F178" s="78">
        <f>18658.8*0.975</f>
        <v>18192.329999999998</v>
      </c>
      <c r="G178" s="6">
        <f>21569.2*0.95</f>
        <v>20490.739999999998</v>
      </c>
    </row>
    <row r="179" spans="1:7" ht="15.75" hidden="1">
      <c r="A179" s="13" t="s">
        <v>82</v>
      </c>
      <c r="B179" s="20">
        <v>8</v>
      </c>
      <c r="C179" s="20">
        <v>2</v>
      </c>
      <c r="D179" s="21"/>
      <c r="E179" s="22"/>
      <c r="F179" s="80">
        <f aca="true" t="shared" si="5" ref="F179:G181">F180</f>
        <v>4334.3625</v>
      </c>
      <c r="G179" s="19">
        <f t="shared" si="5"/>
        <v>4776.98</v>
      </c>
    </row>
    <row r="180" spans="1:7" ht="31.5" hidden="1">
      <c r="A180" s="3" t="s">
        <v>28</v>
      </c>
      <c r="B180" s="4" t="s">
        <v>33</v>
      </c>
      <c r="C180" s="4" t="s">
        <v>9</v>
      </c>
      <c r="D180" s="4">
        <v>4400000</v>
      </c>
      <c r="E180" s="7"/>
      <c r="F180" s="80">
        <f t="shared" si="5"/>
        <v>4334.3625</v>
      </c>
      <c r="G180" s="19">
        <f t="shared" si="5"/>
        <v>4776.98</v>
      </c>
    </row>
    <row r="181" spans="1:10" ht="47.25" hidden="1">
      <c r="A181" s="3" t="s">
        <v>106</v>
      </c>
      <c r="B181" s="4" t="s">
        <v>33</v>
      </c>
      <c r="C181" s="4" t="s">
        <v>9</v>
      </c>
      <c r="D181" s="9">
        <v>4400100</v>
      </c>
      <c r="E181" s="4"/>
      <c r="F181" s="80">
        <f t="shared" si="5"/>
        <v>4334.3625</v>
      </c>
      <c r="G181" s="19">
        <f t="shared" si="5"/>
        <v>4776.98</v>
      </c>
      <c r="J181" s="90"/>
    </row>
    <row r="182" spans="1:10" ht="31.5" hidden="1">
      <c r="A182" s="3" t="s">
        <v>122</v>
      </c>
      <c r="B182" s="4" t="s">
        <v>33</v>
      </c>
      <c r="C182" s="4" t="s">
        <v>9</v>
      </c>
      <c r="D182" s="9">
        <v>4400100</v>
      </c>
      <c r="E182" s="4">
        <v>600</v>
      </c>
      <c r="F182" s="78">
        <f>4445.5*0.975</f>
        <v>4334.3625</v>
      </c>
      <c r="G182" s="6">
        <f>5028.4*0.95</f>
        <v>4776.98</v>
      </c>
      <c r="J182" s="90"/>
    </row>
    <row r="183" spans="1:10" ht="16.5" hidden="1">
      <c r="A183" s="59" t="s">
        <v>97</v>
      </c>
      <c r="B183" s="60">
        <v>9</v>
      </c>
      <c r="C183" s="60"/>
      <c r="D183" s="61"/>
      <c r="E183" s="62"/>
      <c r="F183" s="85">
        <f aca="true" t="shared" si="6" ref="F183:G185">F184</f>
        <v>1083.03</v>
      </c>
      <c r="G183" s="63">
        <f t="shared" si="6"/>
        <v>1100.29</v>
      </c>
      <c r="J183" s="90"/>
    </row>
    <row r="184" spans="1:10" ht="15.75" hidden="1">
      <c r="A184" s="3" t="s">
        <v>99</v>
      </c>
      <c r="B184" s="4" t="s">
        <v>35</v>
      </c>
      <c r="C184" s="4" t="s">
        <v>36</v>
      </c>
      <c r="D184" s="4"/>
      <c r="E184" s="4"/>
      <c r="F184" s="78">
        <f>F185</f>
        <v>1083.03</v>
      </c>
      <c r="G184" s="6">
        <f>G185</f>
        <v>1100.29</v>
      </c>
      <c r="J184" s="90"/>
    </row>
    <row r="185" spans="1:7" ht="141.75" hidden="1">
      <c r="A185" s="64" t="s">
        <v>192</v>
      </c>
      <c r="B185" s="4" t="s">
        <v>35</v>
      </c>
      <c r="C185" s="4" t="s">
        <v>36</v>
      </c>
      <c r="D185" s="5" t="s">
        <v>193</v>
      </c>
      <c r="E185" s="7"/>
      <c r="F185" s="78">
        <f t="shared" si="6"/>
        <v>1083.03</v>
      </c>
      <c r="G185" s="6">
        <f t="shared" si="6"/>
        <v>1100.29</v>
      </c>
    </row>
    <row r="186" spans="1:7" ht="31.5" hidden="1">
      <c r="A186" s="3" t="s">
        <v>118</v>
      </c>
      <c r="B186" s="4" t="s">
        <v>35</v>
      </c>
      <c r="C186" s="4" t="s">
        <v>36</v>
      </c>
      <c r="D186" s="5" t="s">
        <v>193</v>
      </c>
      <c r="E186" s="4">
        <v>200</v>
      </c>
      <c r="F186" s="80">
        <f>1110.8*0.975</f>
        <v>1083.03</v>
      </c>
      <c r="G186" s="19">
        <f>1158.2*0.95</f>
        <v>1100.29</v>
      </c>
    </row>
    <row r="187" spans="1:7" ht="15.75" hidden="1">
      <c r="A187" s="33" t="s">
        <v>37</v>
      </c>
      <c r="B187" s="46">
        <v>10</v>
      </c>
      <c r="C187" s="46"/>
      <c r="D187" s="47"/>
      <c r="E187" s="48"/>
      <c r="F187" s="83">
        <f>F188+F192+F199</f>
        <v>36735.9525</v>
      </c>
      <c r="G187" s="38">
        <f>G188+G192+G199</f>
        <v>35442.884999999995</v>
      </c>
    </row>
    <row r="188" spans="1:7" ht="15.75" hidden="1">
      <c r="A188" s="13" t="s">
        <v>48</v>
      </c>
      <c r="B188" s="14">
        <v>10</v>
      </c>
      <c r="C188" s="14">
        <v>1</v>
      </c>
      <c r="D188" s="15"/>
      <c r="E188" s="16"/>
      <c r="F188" s="86">
        <f aca="true" t="shared" si="7" ref="F188:G190">F189</f>
        <v>1131.78</v>
      </c>
      <c r="G188" s="23">
        <f t="shared" si="7"/>
        <v>301.15</v>
      </c>
    </row>
    <row r="189" spans="1:11" ht="31.5" hidden="1">
      <c r="A189" s="13" t="s">
        <v>83</v>
      </c>
      <c r="B189" s="14">
        <v>10</v>
      </c>
      <c r="C189" s="14">
        <v>1</v>
      </c>
      <c r="D189" s="15">
        <v>4910000</v>
      </c>
      <c r="E189" s="16"/>
      <c r="F189" s="80">
        <f t="shared" si="7"/>
        <v>1131.78</v>
      </c>
      <c r="G189" s="19">
        <f t="shared" si="7"/>
        <v>301.15</v>
      </c>
      <c r="I189" s="69"/>
      <c r="K189" s="69"/>
    </row>
    <row r="190" spans="1:7" ht="31.5" hidden="1">
      <c r="A190" s="13" t="s">
        <v>84</v>
      </c>
      <c r="B190" s="14">
        <v>10</v>
      </c>
      <c r="C190" s="14">
        <v>1</v>
      </c>
      <c r="D190" s="15">
        <v>4910100</v>
      </c>
      <c r="E190" s="16"/>
      <c r="F190" s="80">
        <f t="shared" si="7"/>
        <v>1131.78</v>
      </c>
      <c r="G190" s="19">
        <f t="shared" si="7"/>
        <v>301.15</v>
      </c>
    </row>
    <row r="191" spans="1:7" ht="15.75" hidden="1">
      <c r="A191" s="3" t="s">
        <v>133</v>
      </c>
      <c r="B191" s="14">
        <v>10</v>
      </c>
      <c r="C191" s="14">
        <v>1</v>
      </c>
      <c r="D191" s="15">
        <v>4910100</v>
      </c>
      <c r="E191" s="5" t="s">
        <v>134</v>
      </c>
      <c r="F191" s="78">
        <f>1160.8*0.975</f>
        <v>1131.78</v>
      </c>
      <c r="G191" s="6">
        <f>317*0.95</f>
        <v>301.15</v>
      </c>
    </row>
    <row r="192" spans="1:7" ht="15.75" hidden="1">
      <c r="A192" s="13" t="s">
        <v>38</v>
      </c>
      <c r="B192" s="20">
        <v>10</v>
      </c>
      <c r="C192" s="20">
        <v>3</v>
      </c>
      <c r="D192" s="21"/>
      <c r="E192" s="22"/>
      <c r="F192" s="80">
        <f>F193+F196</f>
        <v>10752.105</v>
      </c>
      <c r="G192" s="19">
        <f>G193+G196</f>
        <v>10926.9</v>
      </c>
    </row>
    <row r="193" spans="1:7" ht="15.75" hidden="1">
      <c r="A193" s="13" t="s">
        <v>64</v>
      </c>
      <c r="B193" s="20">
        <v>10</v>
      </c>
      <c r="C193" s="20">
        <v>3</v>
      </c>
      <c r="D193" s="21">
        <v>5050000</v>
      </c>
      <c r="E193" s="22"/>
      <c r="F193" s="80">
        <f>F194</f>
        <v>10605.855</v>
      </c>
      <c r="G193" s="19">
        <f>G194</f>
        <v>10784.4</v>
      </c>
    </row>
    <row r="194" spans="1:11" ht="15.75" hidden="1">
      <c r="A194" s="13" t="s">
        <v>41</v>
      </c>
      <c r="B194" s="20">
        <v>10</v>
      </c>
      <c r="C194" s="20">
        <v>3</v>
      </c>
      <c r="D194" s="21">
        <v>5058500</v>
      </c>
      <c r="E194" s="22"/>
      <c r="F194" s="80">
        <f>F195</f>
        <v>10605.855</v>
      </c>
      <c r="G194" s="19">
        <f>G195</f>
        <v>10784.4</v>
      </c>
      <c r="I194" s="69"/>
      <c r="K194" s="69"/>
    </row>
    <row r="195" spans="1:11" ht="15.75" hidden="1">
      <c r="A195" s="3" t="s">
        <v>133</v>
      </c>
      <c r="B195" s="4" t="s">
        <v>114</v>
      </c>
      <c r="C195" s="4" t="s">
        <v>15</v>
      </c>
      <c r="D195" s="10" t="s">
        <v>135</v>
      </c>
      <c r="E195" s="5" t="s">
        <v>134</v>
      </c>
      <c r="F195" s="78">
        <f>(10927.8-50)*0.975</f>
        <v>10605.855</v>
      </c>
      <c r="G195" s="6">
        <f>(11402-50)*0.95</f>
        <v>10784.4</v>
      </c>
      <c r="I195" s="69"/>
      <c r="K195" s="69"/>
    </row>
    <row r="196" spans="1:11" ht="31.5" hidden="1">
      <c r="A196" s="13" t="s">
        <v>39</v>
      </c>
      <c r="B196" s="20">
        <v>10</v>
      </c>
      <c r="C196" s="20">
        <v>3</v>
      </c>
      <c r="D196" s="21">
        <v>5140000</v>
      </c>
      <c r="E196" s="22"/>
      <c r="F196" s="80">
        <f>F197</f>
        <v>146.25</v>
      </c>
      <c r="G196" s="19">
        <f>G197</f>
        <v>142.5</v>
      </c>
      <c r="I196" s="69"/>
      <c r="K196" s="69"/>
    </row>
    <row r="197" spans="1:11" ht="15.75" hidden="1">
      <c r="A197" s="13" t="s">
        <v>40</v>
      </c>
      <c r="B197" s="20">
        <v>10</v>
      </c>
      <c r="C197" s="20">
        <v>3</v>
      </c>
      <c r="D197" s="21">
        <v>5140100</v>
      </c>
      <c r="E197" s="22"/>
      <c r="F197" s="80">
        <f>F198</f>
        <v>146.25</v>
      </c>
      <c r="G197" s="19">
        <f>G198</f>
        <v>142.5</v>
      </c>
      <c r="I197" s="69"/>
      <c r="K197" s="69"/>
    </row>
    <row r="198" spans="1:11" ht="31.5" hidden="1">
      <c r="A198" s="3" t="s">
        <v>122</v>
      </c>
      <c r="B198" s="20">
        <v>10</v>
      </c>
      <c r="C198" s="20">
        <v>3</v>
      </c>
      <c r="D198" s="21">
        <v>5140100</v>
      </c>
      <c r="E198" s="4">
        <v>600</v>
      </c>
      <c r="F198" s="78">
        <f>150*0.975</f>
        <v>146.25</v>
      </c>
      <c r="G198" s="6">
        <f>150*0.95</f>
        <v>142.5</v>
      </c>
      <c r="I198" s="69"/>
      <c r="K198" s="69"/>
    </row>
    <row r="199" spans="1:11" ht="15.75" hidden="1">
      <c r="A199" s="3" t="s">
        <v>136</v>
      </c>
      <c r="B199" s="4">
        <v>10</v>
      </c>
      <c r="C199" s="5" t="s">
        <v>96</v>
      </c>
      <c r="D199" s="10"/>
      <c r="E199" s="5"/>
      <c r="F199" s="78">
        <f>F200</f>
        <v>24852.067499999997</v>
      </c>
      <c r="G199" s="6">
        <f>G200</f>
        <v>24214.835</v>
      </c>
      <c r="I199" s="69"/>
      <c r="K199" s="69"/>
    </row>
    <row r="200" spans="1:11" ht="63" hidden="1">
      <c r="A200" s="3" t="s">
        <v>137</v>
      </c>
      <c r="B200" s="4">
        <v>10</v>
      </c>
      <c r="C200" s="5" t="s">
        <v>96</v>
      </c>
      <c r="D200" s="10" t="s">
        <v>138</v>
      </c>
      <c r="E200" s="5"/>
      <c r="F200" s="78">
        <f>F201</f>
        <v>24852.067499999997</v>
      </c>
      <c r="G200" s="6">
        <f>G201</f>
        <v>24214.835</v>
      </c>
      <c r="I200" s="69"/>
      <c r="K200" s="69"/>
    </row>
    <row r="201" spans="1:7" ht="15.75" hidden="1">
      <c r="A201" s="3" t="s">
        <v>133</v>
      </c>
      <c r="B201" s="4">
        <v>10</v>
      </c>
      <c r="C201" s="5" t="s">
        <v>96</v>
      </c>
      <c r="D201" s="10" t="s">
        <v>138</v>
      </c>
      <c r="E201" s="5" t="s">
        <v>134</v>
      </c>
      <c r="F201" s="78">
        <f>25489.3*0.975</f>
        <v>24852.067499999997</v>
      </c>
      <c r="G201" s="6">
        <f>25489.3*0.95</f>
        <v>24214.835</v>
      </c>
    </row>
    <row r="202" spans="1:7" ht="15.75" hidden="1">
      <c r="A202" s="49" t="s">
        <v>42</v>
      </c>
      <c r="B202" s="50">
        <v>11</v>
      </c>
      <c r="C202" s="50"/>
      <c r="D202" s="41"/>
      <c r="E202" s="51"/>
      <c r="F202" s="87">
        <f aca="true" t="shared" si="8" ref="F202:G205">F203</f>
        <v>6051.532499999999</v>
      </c>
      <c r="G202" s="52">
        <f t="shared" si="8"/>
        <v>6016.445</v>
      </c>
    </row>
    <row r="203" spans="1:7" ht="15.75" hidden="1">
      <c r="A203" s="3" t="s">
        <v>88</v>
      </c>
      <c r="B203" s="4">
        <v>11</v>
      </c>
      <c r="C203" s="4" t="s">
        <v>9</v>
      </c>
      <c r="D203" s="25"/>
      <c r="E203" s="16"/>
      <c r="F203" s="80">
        <f t="shared" si="8"/>
        <v>6051.532499999999</v>
      </c>
      <c r="G203" s="19">
        <f t="shared" si="8"/>
        <v>6016.445</v>
      </c>
    </row>
    <row r="204" spans="1:10" s="1" customFormat="1" ht="31.5" hidden="1">
      <c r="A204" s="13" t="s">
        <v>85</v>
      </c>
      <c r="B204" s="24">
        <v>11</v>
      </c>
      <c r="C204" s="56" t="s">
        <v>9</v>
      </c>
      <c r="D204" s="25">
        <v>5120000</v>
      </c>
      <c r="E204" s="16"/>
      <c r="F204" s="80">
        <f t="shared" si="8"/>
        <v>6051.532499999999</v>
      </c>
      <c r="G204" s="19">
        <f t="shared" si="8"/>
        <v>6016.445</v>
      </c>
      <c r="H204" s="58"/>
      <c r="J204" s="89"/>
    </row>
    <row r="205" spans="1:10" s="1" customFormat="1" ht="31.5" hidden="1">
      <c r="A205" s="13" t="s">
        <v>86</v>
      </c>
      <c r="B205" s="24">
        <v>11</v>
      </c>
      <c r="C205" s="56" t="s">
        <v>9</v>
      </c>
      <c r="D205" s="25">
        <v>5129700</v>
      </c>
      <c r="E205" s="26"/>
      <c r="F205" s="80">
        <f t="shared" si="8"/>
        <v>6051.532499999999</v>
      </c>
      <c r="G205" s="19">
        <f t="shared" si="8"/>
        <v>6016.445</v>
      </c>
      <c r="H205" s="58"/>
      <c r="J205" s="89"/>
    </row>
    <row r="206" spans="1:10" s="1" customFormat="1" ht="31.5" hidden="1">
      <c r="A206" s="3" t="s">
        <v>118</v>
      </c>
      <c r="B206" s="24">
        <v>11</v>
      </c>
      <c r="C206" s="56" t="s">
        <v>9</v>
      </c>
      <c r="D206" s="25">
        <v>5129700</v>
      </c>
      <c r="E206" s="56">
        <v>200</v>
      </c>
      <c r="F206" s="80">
        <f>6206.7*0.975</f>
        <v>6051.532499999999</v>
      </c>
      <c r="G206" s="19">
        <f>6333.1*0.95</f>
        <v>6016.445</v>
      </c>
      <c r="H206" s="58"/>
      <c r="J206" s="89"/>
    </row>
    <row r="207" spans="1:10" s="1" customFormat="1" ht="31.5">
      <c r="A207" s="33" t="s">
        <v>49</v>
      </c>
      <c r="B207" s="34">
        <v>14</v>
      </c>
      <c r="C207" s="34"/>
      <c r="D207" s="43"/>
      <c r="E207" s="44"/>
      <c r="F207" s="82">
        <f>F208+F214</f>
        <v>22057.1</v>
      </c>
      <c r="G207" s="45">
        <f>G208+G214</f>
        <v>18392.699999999997</v>
      </c>
      <c r="H207" s="58"/>
      <c r="J207" s="89"/>
    </row>
    <row r="208" spans="1:10" s="1" customFormat="1" ht="31.5">
      <c r="A208" s="3" t="s">
        <v>149</v>
      </c>
      <c r="B208" s="4">
        <v>14</v>
      </c>
      <c r="C208" s="4" t="s">
        <v>8</v>
      </c>
      <c r="D208" s="4"/>
      <c r="E208" s="4"/>
      <c r="F208" s="84">
        <f>F209</f>
        <v>16804.7</v>
      </c>
      <c r="G208" s="17">
        <f>G209</f>
        <v>18130.1</v>
      </c>
      <c r="H208" s="58"/>
      <c r="J208" s="89"/>
    </row>
    <row r="209" spans="1:10" s="1" customFormat="1" ht="15.75">
      <c r="A209" s="3" t="s">
        <v>50</v>
      </c>
      <c r="B209" s="4">
        <v>14</v>
      </c>
      <c r="C209" s="4" t="s">
        <v>8</v>
      </c>
      <c r="D209" s="4">
        <v>5160000</v>
      </c>
      <c r="E209" s="4"/>
      <c r="F209" s="84">
        <f>F210+F212</f>
        <v>16804.7</v>
      </c>
      <c r="G209" s="17">
        <f>G210+G212</f>
        <v>18130.1</v>
      </c>
      <c r="H209" s="65"/>
      <c r="I209" s="69"/>
      <c r="J209" s="91"/>
    </row>
    <row r="210" spans="1:10" s="1" customFormat="1" ht="31.5">
      <c r="A210" s="3" t="s">
        <v>51</v>
      </c>
      <c r="B210" s="4">
        <v>14</v>
      </c>
      <c r="C210" s="4" t="s">
        <v>8</v>
      </c>
      <c r="D210" s="4">
        <v>5168004</v>
      </c>
      <c r="E210" s="5"/>
      <c r="F210" s="84">
        <f>F211</f>
        <v>13292.7</v>
      </c>
      <c r="G210" s="17">
        <f>G211</f>
        <v>15070.1</v>
      </c>
      <c r="H210" s="58"/>
      <c r="J210" s="89"/>
    </row>
    <row r="211" spans="1:10" s="1" customFormat="1" ht="15.75">
      <c r="A211" s="3" t="s">
        <v>123</v>
      </c>
      <c r="B211" s="4">
        <v>14</v>
      </c>
      <c r="C211" s="4" t="s">
        <v>8</v>
      </c>
      <c r="D211" s="4">
        <v>5168004</v>
      </c>
      <c r="E211" s="5" t="s">
        <v>19</v>
      </c>
      <c r="F211" s="78">
        <v>13292.7</v>
      </c>
      <c r="G211" s="6">
        <v>15070.1</v>
      </c>
      <c r="H211" s="58"/>
      <c r="J211" s="89"/>
    </row>
    <row r="212" spans="1:10" s="1" customFormat="1" ht="31.5">
      <c r="A212" s="3" t="s">
        <v>51</v>
      </c>
      <c r="B212" s="4">
        <v>14</v>
      </c>
      <c r="C212" s="4" t="s">
        <v>8</v>
      </c>
      <c r="D212" s="4">
        <v>5168006</v>
      </c>
      <c r="E212" s="5"/>
      <c r="F212" s="78">
        <f>F213</f>
        <v>3512</v>
      </c>
      <c r="G212" s="6">
        <f>G213</f>
        <v>3060</v>
      </c>
      <c r="H212" s="65"/>
      <c r="J212" s="89"/>
    </row>
    <row r="213" spans="1:10" s="1" customFormat="1" ht="15.75">
      <c r="A213" s="3" t="s">
        <v>123</v>
      </c>
      <c r="B213" s="4">
        <v>14</v>
      </c>
      <c r="C213" s="4" t="s">
        <v>8</v>
      </c>
      <c r="D213" s="4">
        <v>5168006</v>
      </c>
      <c r="E213" s="5" t="s">
        <v>19</v>
      </c>
      <c r="F213" s="78">
        <v>3512</v>
      </c>
      <c r="G213" s="6">
        <v>3060</v>
      </c>
      <c r="H213" s="58"/>
      <c r="J213" s="89"/>
    </row>
    <row r="214" spans="1:10" s="1" customFormat="1" ht="15.75">
      <c r="A214" s="3" t="s">
        <v>52</v>
      </c>
      <c r="B214" s="4">
        <v>14</v>
      </c>
      <c r="C214" s="5" t="s">
        <v>9</v>
      </c>
      <c r="D214" s="5"/>
      <c r="E214" s="5"/>
      <c r="F214" s="84">
        <f aca="true" t="shared" si="9" ref="F214:G216">F215</f>
        <v>5252.4</v>
      </c>
      <c r="G214" s="17">
        <f t="shared" si="9"/>
        <v>262.6</v>
      </c>
      <c r="H214" s="58"/>
      <c r="J214" s="89"/>
    </row>
    <row r="215" spans="1:10" s="1" customFormat="1" ht="15.75">
      <c r="A215" s="3" t="s">
        <v>53</v>
      </c>
      <c r="B215" s="4">
        <v>14</v>
      </c>
      <c r="C215" s="5" t="s">
        <v>9</v>
      </c>
      <c r="D215" s="5">
        <v>5170000</v>
      </c>
      <c r="E215" s="5"/>
      <c r="F215" s="84">
        <f t="shared" si="9"/>
        <v>5252.4</v>
      </c>
      <c r="G215" s="17">
        <f t="shared" si="9"/>
        <v>262.6</v>
      </c>
      <c r="H215" s="58"/>
      <c r="J215" s="89"/>
    </row>
    <row r="216" spans="1:10" s="1" customFormat="1" ht="31.5">
      <c r="A216" s="3" t="s">
        <v>54</v>
      </c>
      <c r="B216" s="4">
        <v>14</v>
      </c>
      <c r="C216" s="5" t="s">
        <v>9</v>
      </c>
      <c r="D216" s="5" t="s">
        <v>148</v>
      </c>
      <c r="E216" s="7"/>
      <c r="F216" s="80">
        <f t="shared" si="9"/>
        <v>5252.4</v>
      </c>
      <c r="G216" s="19">
        <f t="shared" si="9"/>
        <v>262.6</v>
      </c>
      <c r="H216" s="58"/>
      <c r="J216" s="89"/>
    </row>
    <row r="217" spans="1:10" s="1" customFormat="1" ht="16.5" thickBot="1">
      <c r="A217" s="3" t="s">
        <v>123</v>
      </c>
      <c r="B217" s="4">
        <v>14</v>
      </c>
      <c r="C217" s="5" t="s">
        <v>9</v>
      </c>
      <c r="D217" s="5" t="s">
        <v>148</v>
      </c>
      <c r="E217" s="5" t="s">
        <v>19</v>
      </c>
      <c r="F217" s="78">
        <v>5252.4</v>
      </c>
      <c r="G217" s="6">
        <v>262.6</v>
      </c>
      <c r="H217" s="58"/>
      <c r="J217" s="89"/>
    </row>
    <row r="218" spans="1:7" ht="15.75" hidden="1">
      <c r="A218" s="92" t="s">
        <v>143</v>
      </c>
      <c r="B218" s="41">
        <v>99</v>
      </c>
      <c r="C218" s="40"/>
      <c r="D218" s="40"/>
      <c r="E218" s="93"/>
      <c r="F218" s="94">
        <f aca="true" t="shared" si="10" ref="F218:G220">F219</f>
        <v>33479.5</v>
      </c>
      <c r="G218" s="42">
        <f t="shared" si="10"/>
        <v>69083.9</v>
      </c>
    </row>
    <row r="219" spans="1:7" ht="15.75" hidden="1">
      <c r="A219" s="95" t="s">
        <v>143</v>
      </c>
      <c r="B219" s="25">
        <v>99</v>
      </c>
      <c r="C219" s="96">
        <v>99</v>
      </c>
      <c r="D219" s="97"/>
      <c r="E219" s="98"/>
      <c r="F219" s="99">
        <f t="shared" si="10"/>
        <v>33479.5</v>
      </c>
      <c r="G219" s="100">
        <f t="shared" si="10"/>
        <v>69083.9</v>
      </c>
    </row>
    <row r="220" spans="1:7" ht="15.75" hidden="1">
      <c r="A220" s="95" t="s">
        <v>143</v>
      </c>
      <c r="B220" s="25">
        <v>99</v>
      </c>
      <c r="C220" s="96">
        <v>99</v>
      </c>
      <c r="D220" s="96">
        <v>9990000</v>
      </c>
      <c r="E220" s="98"/>
      <c r="F220" s="99">
        <f t="shared" si="10"/>
        <v>33479.5</v>
      </c>
      <c r="G220" s="100">
        <f t="shared" si="10"/>
        <v>69083.9</v>
      </c>
    </row>
    <row r="221" spans="1:7" ht="16.5" hidden="1" thickBot="1">
      <c r="A221" s="3" t="s">
        <v>120</v>
      </c>
      <c r="B221" s="25">
        <v>99</v>
      </c>
      <c r="C221" s="96">
        <v>99</v>
      </c>
      <c r="D221" s="96">
        <v>9990000</v>
      </c>
      <c r="E221" s="4">
        <v>800</v>
      </c>
      <c r="F221" s="77">
        <v>33479.5</v>
      </c>
      <c r="G221" s="6">
        <v>69083.9</v>
      </c>
    </row>
    <row r="222" spans="1:7" ht="16.5" thickBot="1">
      <c r="A222" s="53" t="s">
        <v>66</v>
      </c>
      <c r="B222" s="54"/>
      <c r="C222" s="54"/>
      <c r="D222" s="54"/>
      <c r="E222" s="55"/>
      <c r="F222" s="88">
        <f>F16+F87+F91+F96+F103+F108+F113+F162+F183+F187+F202+F207+F218</f>
        <v>1378537.4802500003</v>
      </c>
      <c r="G222" s="68">
        <f>G16+G87+G91+G96+G103+G108+G113+G162+G183+G187+G202+G207+G218</f>
        <v>1417371.3745000002</v>
      </c>
    </row>
    <row r="224" spans="6:7" ht="15">
      <c r="F224" s="75">
        <v>1377020.7</v>
      </c>
      <c r="G224" s="75">
        <v>1417371.4</v>
      </c>
    </row>
    <row r="225" spans="6:7" ht="15">
      <c r="F225" s="75">
        <f>F224-F222</f>
        <v>-1516.7802500003017</v>
      </c>
      <c r="G225" s="75">
        <f>G224-G222</f>
        <v>0.025499999755993485</v>
      </c>
    </row>
    <row r="226" spans="6:7" ht="15">
      <c r="F226" s="75">
        <f>(F224-F207-F100)*0.975+F100+F207</f>
        <v>1343579.1099999999</v>
      </c>
      <c r="G226" s="75">
        <f>(G224-G207-G100)*0.95+G100+G207</f>
        <v>1348287.4649999999</v>
      </c>
    </row>
    <row r="228" spans="6:7" ht="15">
      <c r="F228" s="75">
        <f>F222-F226</f>
        <v>34958.370250000386</v>
      </c>
      <c r="G228" s="75">
        <f>G222-G226</f>
        <v>69083.9095000003</v>
      </c>
    </row>
    <row r="230" spans="6:7" ht="15">
      <c r="F230" s="75">
        <f>F225-F228</f>
        <v>-36475.15050000069</v>
      </c>
      <c r="G230" s="75">
        <f>G225-G228</f>
        <v>-69083.88400000054</v>
      </c>
    </row>
  </sheetData>
  <sheetProtection/>
  <mergeCells count="13">
    <mergeCell ref="A7:G7"/>
    <mergeCell ref="A8:G8"/>
    <mergeCell ref="A9:G9"/>
    <mergeCell ref="A10:G10"/>
    <mergeCell ref="A12:E12"/>
    <mergeCell ref="A13:A15"/>
    <mergeCell ref="B13:B15"/>
    <mergeCell ref="C13:C15"/>
    <mergeCell ref="D13:D15"/>
    <mergeCell ref="E13:E15"/>
    <mergeCell ref="A11:G11"/>
    <mergeCell ref="F13:F15"/>
    <mergeCell ref="G13:G15"/>
  </mergeCells>
  <printOptions/>
  <pageMargins left="0.42" right="0.1968503937007874" top="0.2755905511811024" bottom="0.2362204724409449" header="0.15748031496062992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elab-raisa nur</dc:creator>
  <cp:keywords/>
  <dc:description/>
  <cp:lastModifiedBy>Org</cp:lastModifiedBy>
  <cp:lastPrinted>2015-02-18T14:37:57Z</cp:lastPrinted>
  <dcterms:created xsi:type="dcterms:W3CDTF">2011-03-31T11:44:44Z</dcterms:created>
  <dcterms:modified xsi:type="dcterms:W3CDTF">2015-02-20T11:12:53Z</dcterms:modified>
  <cp:category/>
  <cp:version/>
  <cp:contentType/>
  <cp:contentStatus/>
</cp:coreProperties>
</file>